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F:\jacare dos homens\UBS AMARGOSA\"/>
    </mc:Choice>
  </mc:AlternateContent>
  <xr:revisionPtr revIDLastSave="0" documentId="13_ncr:1_{2521A486-7A76-4F8F-A3F3-141F4F9F5D7D}" xr6:coauthVersionLast="43" xr6:coauthVersionMax="43" xr10:uidLastSave="{00000000-0000-0000-0000-000000000000}"/>
  <bookViews>
    <workbookView xWindow="-120" yWindow="-120" windowWidth="20730" windowHeight="11160" tabRatio="735" xr2:uid="{00000000-000D-0000-FFFF-FFFF00000000}"/>
  </bookViews>
  <sheets>
    <sheet name="ORÇ. REFORMA" sheetId="30" r:id="rId1"/>
    <sheet name="ORÇAMENTO" sheetId="28" state="hidden" r:id="rId2"/>
    <sheet name="COMPOSIÇÕES - REFORMAS" sheetId="22" r:id="rId3"/>
    <sheet name="CRON.REFORMA " sheetId="32" r:id="rId4"/>
    <sheet name="BDI" sheetId="26" r:id="rId5"/>
    <sheet name="Calc Quant reforma" sheetId="33" r:id="rId6"/>
    <sheet name="Calc Quant AMPLIAÇÃO" sheetId="34" r:id="rId7"/>
  </sheets>
  <externalReferences>
    <externalReference r:id="rId8"/>
    <externalReference r:id="rId9"/>
    <externalReference r:id="rId10"/>
    <externalReference r:id="rId11"/>
  </externalReferences>
  <definedNames>
    <definedName name="______ta105" localSheetId="6">#REF!</definedName>
    <definedName name="______ta105" localSheetId="3">#REF!</definedName>
    <definedName name="______ta105" localSheetId="0">#REF!</definedName>
    <definedName name="______ta105" localSheetId="1">#REF!</definedName>
    <definedName name="______ta105">#REF!</definedName>
    <definedName name="______ta157" localSheetId="6">#REF!</definedName>
    <definedName name="______ta157" localSheetId="3">#REF!</definedName>
    <definedName name="______ta157" localSheetId="0">#REF!</definedName>
    <definedName name="______ta157" localSheetId="1">#REF!</definedName>
    <definedName name="______ta157">#REF!</definedName>
    <definedName name="_____ta105" localSheetId="6">#REF!</definedName>
    <definedName name="_____ta105" localSheetId="3">#REF!</definedName>
    <definedName name="_____ta105" localSheetId="0">#REF!</definedName>
    <definedName name="_____ta105" localSheetId="1">#REF!</definedName>
    <definedName name="_____ta105">#REF!</definedName>
    <definedName name="_____ta157" localSheetId="6">#REF!</definedName>
    <definedName name="_____ta157" localSheetId="3">#REF!</definedName>
    <definedName name="_____ta157" localSheetId="0">#REF!</definedName>
    <definedName name="_____ta157" localSheetId="1">#REF!</definedName>
    <definedName name="_____ta157">#REF!</definedName>
    <definedName name="____ta105" localSheetId="6">#REF!</definedName>
    <definedName name="____ta105" localSheetId="3">#REF!</definedName>
    <definedName name="____ta105" localSheetId="0">#REF!</definedName>
    <definedName name="____ta105" localSheetId="1">#REF!</definedName>
    <definedName name="____ta105">#REF!</definedName>
    <definedName name="____ta157" localSheetId="6">#REF!</definedName>
    <definedName name="____ta157" localSheetId="3">#REF!</definedName>
    <definedName name="____ta157" localSheetId="0">#REF!</definedName>
    <definedName name="____ta157" localSheetId="1">#REF!</definedName>
    <definedName name="____ta157">#REF!</definedName>
    <definedName name="___ta105" localSheetId="6">#REF!</definedName>
    <definedName name="___ta105" localSheetId="3">#REF!</definedName>
    <definedName name="___ta105" localSheetId="0">#REF!</definedName>
    <definedName name="___ta105" localSheetId="1">#REF!</definedName>
    <definedName name="___ta105">#REF!</definedName>
    <definedName name="___ta157" localSheetId="6">#REF!</definedName>
    <definedName name="___ta157" localSheetId="3">#REF!</definedName>
    <definedName name="___ta157" localSheetId="0">#REF!</definedName>
    <definedName name="___ta157" localSheetId="1">#REF!</definedName>
    <definedName name="___ta157">#REF!</definedName>
    <definedName name="__apf1" localSheetId="6">#REF!</definedName>
    <definedName name="__apf1" localSheetId="3">#REF!</definedName>
    <definedName name="__apf1" localSheetId="0">#REF!</definedName>
    <definedName name="__apf1" localSheetId="1">#REF!</definedName>
    <definedName name="__apf1">#REF!</definedName>
    <definedName name="__cpf1" localSheetId="6">#REF!</definedName>
    <definedName name="__cpf1" localSheetId="3">#REF!</definedName>
    <definedName name="__cpf1" localSheetId="0">#REF!</definedName>
    <definedName name="__cpf1" localSheetId="1">#REF!</definedName>
    <definedName name="__cpf1">#REF!</definedName>
    <definedName name="__ta105" localSheetId="6">#REF!</definedName>
    <definedName name="__ta105" localSheetId="3">#REF!</definedName>
    <definedName name="__ta105" localSheetId="0">#REF!</definedName>
    <definedName name="__ta105" localSheetId="1">#REF!</definedName>
    <definedName name="__ta105">#REF!</definedName>
    <definedName name="__ta157" localSheetId="6">#REF!</definedName>
    <definedName name="__ta157" localSheetId="3">#REF!</definedName>
    <definedName name="__ta157" localSheetId="0">#REF!</definedName>
    <definedName name="__ta157" localSheetId="1">#REF!</definedName>
    <definedName name="__ta157">#REF!</definedName>
    <definedName name="_5555" localSheetId="6">#REF!</definedName>
    <definedName name="_5555" localSheetId="3">#REF!</definedName>
    <definedName name="_5555" localSheetId="0">#REF!</definedName>
    <definedName name="_5555" localSheetId="1">#REF!</definedName>
    <definedName name="_5555">#REF!</definedName>
    <definedName name="_apf1" localSheetId="6">#REF!</definedName>
    <definedName name="_apf1" localSheetId="3">#REF!</definedName>
    <definedName name="_apf1" localSheetId="0">#REF!</definedName>
    <definedName name="_apf1" localSheetId="1">#REF!</definedName>
    <definedName name="_apf1">#REF!</definedName>
    <definedName name="_cpf1" localSheetId="6">#REF!</definedName>
    <definedName name="_cpf1" localSheetId="3">#REF!</definedName>
    <definedName name="_cpf1" localSheetId="0">#REF!</definedName>
    <definedName name="_cpf1" localSheetId="1">#REF!</definedName>
    <definedName name="_cpf1">#REF!</definedName>
    <definedName name="_sub1" localSheetId="6">#REF!</definedName>
    <definedName name="_sub1" localSheetId="3">#REF!</definedName>
    <definedName name="_sub1" localSheetId="0">#REF!</definedName>
    <definedName name="_sub1" localSheetId="1">#REF!</definedName>
    <definedName name="_sub1">#REF!</definedName>
    <definedName name="_sub2" localSheetId="6">#REF!</definedName>
    <definedName name="_sub2" localSheetId="3">#REF!</definedName>
    <definedName name="_sub2" localSheetId="0">#REF!</definedName>
    <definedName name="_sub2" localSheetId="1">#REF!</definedName>
    <definedName name="_sub2">#REF!</definedName>
    <definedName name="_sub3" localSheetId="6">#REF!</definedName>
    <definedName name="_sub3" localSheetId="3">#REF!</definedName>
    <definedName name="_sub3" localSheetId="0">#REF!</definedName>
    <definedName name="_sub3" localSheetId="1">#REF!</definedName>
    <definedName name="_sub3">#REF!</definedName>
    <definedName name="_sub4" localSheetId="6">#REF!</definedName>
    <definedName name="_sub4" localSheetId="3">#REF!</definedName>
    <definedName name="_sub4" localSheetId="0">#REF!</definedName>
    <definedName name="_sub4" localSheetId="1">#REF!</definedName>
    <definedName name="_sub4">#REF!</definedName>
    <definedName name="_ta105" localSheetId="6">#REF!</definedName>
    <definedName name="_ta105" localSheetId="3">#REF!</definedName>
    <definedName name="_ta105" localSheetId="0">#REF!</definedName>
    <definedName name="_ta105" localSheetId="1">#REF!</definedName>
    <definedName name="_ta105">#REF!</definedName>
    <definedName name="_ta157" localSheetId="6">#REF!</definedName>
    <definedName name="_ta157" localSheetId="3">#REF!</definedName>
    <definedName name="_ta157" localSheetId="0">#REF!</definedName>
    <definedName name="_ta157" localSheetId="1">#REF!</definedName>
    <definedName name="_ta157">#REF!</definedName>
    <definedName name="a" localSheetId="6">#REF!</definedName>
    <definedName name="a" localSheetId="3">#REF!</definedName>
    <definedName name="a" localSheetId="0">#REF!</definedName>
    <definedName name="a" localSheetId="1">#REF!</definedName>
    <definedName name="a">#REF!</definedName>
    <definedName name="A500000000000000000000" localSheetId="6">#REF!</definedName>
    <definedName name="A500000000000000000000" localSheetId="3">#REF!</definedName>
    <definedName name="A500000000000000000000" localSheetId="0">#REF!</definedName>
    <definedName name="A500000000000000000000" localSheetId="1">#REF!</definedName>
    <definedName name="A500000000000000000000">#REF!</definedName>
    <definedName name="aapoio3por2por02" localSheetId="6">#REF!</definedName>
    <definedName name="aapoio3por2por02" localSheetId="3">#REF!</definedName>
    <definedName name="aapoio3por2por02" localSheetId="0">#REF!</definedName>
    <definedName name="aapoio3por2por02" localSheetId="1">#REF!</definedName>
    <definedName name="aapoio3por2por02">#REF!</definedName>
    <definedName name="aapoio3por8por03" localSheetId="6">#REF!</definedName>
    <definedName name="aapoio3por8por03" localSheetId="3">#REF!</definedName>
    <definedName name="aapoio3por8por03" localSheetId="0">#REF!</definedName>
    <definedName name="aapoio3por8por03" localSheetId="1">#REF!</definedName>
    <definedName name="aapoio3por8por03">#REF!</definedName>
    <definedName name="abc" localSheetId="6">#REF!</definedName>
    <definedName name="abc" localSheetId="3">#REF!</definedName>
    <definedName name="abc" localSheetId="0">#REF!</definedName>
    <definedName name="abc" localSheetId="1">#REF!</definedName>
    <definedName name="abc">#REF!</definedName>
    <definedName name="ACwvu.Características." localSheetId="6" hidden="1">#REF!</definedName>
    <definedName name="ACwvu.Características." localSheetId="3" hidden="1">#REF!</definedName>
    <definedName name="ACwvu.Características." localSheetId="0" hidden="1">#REF!</definedName>
    <definedName name="ACwvu.Características." localSheetId="1" hidden="1">#REF!</definedName>
    <definedName name="ACwvu.Características." hidden="1">#REF!</definedName>
    <definedName name="ACwvu.Ciclos." localSheetId="6" hidden="1">#REF!</definedName>
    <definedName name="ACwvu.Ciclos." localSheetId="3" hidden="1">#REF!</definedName>
    <definedName name="ACwvu.Ciclos." localSheetId="0" hidden="1">#REF!</definedName>
    <definedName name="ACwvu.Ciclos." localSheetId="1" hidden="1">#REF!</definedName>
    <definedName name="ACwvu.Ciclos." hidden="1">#REF!</definedName>
    <definedName name="ACwvu.Custos." localSheetId="6" hidden="1">#REF!</definedName>
    <definedName name="ACwvu.Custos." localSheetId="3" hidden="1">#REF!</definedName>
    <definedName name="ACwvu.Custos." localSheetId="0" hidden="1">#REF!</definedName>
    <definedName name="ACwvu.Custos." localSheetId="1" hidden="1">#REF!</definedName>
    <definedName name="ACwvu.Custos." hidden="1">#REF!</definedName>
    <definedName name="ACwvu.Recursos." localSheetId="6" hidden="1">#REF!</definedName>
    <definedName name="ACwvu.Recursos." localSheetId="3" hidden="1">#REF!</definedName>
    <definedName name="ACwvu.Recursos." localSheetId="0" hidden="1">#REF!</definedName>
    <definedName name="ACwvu.Recursos." localSheetId="1" hidden="1">#REF!</definedName>
    <definedName name="ACwvu.Recursos." hidden="1">#REF!</definedName>
    <definedName name="ADS" localSheetId="6">#REF!</definedName>
    <definedName name="ADS" localSheetId="3">#REF!</definedName>
    <definedName name="ADS" localSheetId="0">#REF!</definedName>
    <definedName name="ADS" localSheetId="1">#REF!</definedName>
    <definedName name="ADS">#REF!</definedName>
    <definedName name="alvenaria" localSheetId="6">#REF!</definedName>
    <definedName name="alvenaria" localSheetId="3">#REF!</definedName>
    <definedName name="alvenaria" localSheetId="0">#REF!</definedName>
    <definedName name="alvenaria" localSheetId="1">#REF!</definedName>
    <definedName name="alvenaria">#REF!</definedName>
    <definedName name="andaime" localSheetId="6">#REF!</definedName>
    <definedName name="andaime" localSheetId="3">#REF!</definedName>
    <definedName name="andaime" localSheetId="0">#REF!</definedName>
    <definedName name="andaime" localSheetId="1">#REF!</definedName>
    <definedName name="andaime">#REF!</definedName>
    <definedName name="apontador" localSheetId="6">#REF!</definedName>
    <definedName name="apontador" localSheetId="3">#REF!</definedName>
    <definedName name="apontador" localSheetId="0">#REF!</definedName>
    <definedName name="apontador" localSheetId="1">#REF!</definedName>
    <definedName name="apontador">#REF!</definedName>
    <definedName name="_xlnm.Print_Area" localSheetId="4">BDI!$A$1:$E$38</definedName>
    <definedName name="_xlnm.Print_Area" localSheetId="6">#REF!</definedName>
    <definedName name="_xlnm.Print_Area" localSheetId="2">'COMPOSIÇÕES - REFORMAS'!$A$1:$H$330</definedName>
    <definedName name="_xlnm.Print_Area" localSheetId="3">'CRON.REFORMA '!$A$1:$I$82</definedName>
    <definedName name="_xlnm.Print_Area" localSheetId="0">'ORÇ. REFORMA'!$A$1:$J$251</definedName>
    <definedName name="_xlnm.Print_Area" localSheetId="1">ORÇAMENTO!$A$1:$J$144</definedName>
    <definedName name="_xlnm.Print_Area">#REF!</definedName>
    <definedName name="ASDS" localSheetId="6">#REF!</definedName>
    <definedName name="ASDS" localSheetId="3">#REF!</definedName>
    <definedName name="ASDS" localSheetId="0">#REF!</definedName>
    <definedName name="ASDS" localSheetId="1">#REF!</definedName>
    <definedName name="ASDS">#REF!</definedName>
    <definedName name="auxiliar" localSheetId="6">#REF!</definedName>
    <definedName name="auxiliar" localSheetId="3">#REF!</definedName>
    <definedName name="auxiliar" localSheetId="0">#REF!</definedName>
    <definedName name="auxiliar" localSheetId="1">#REF!</definedName>
    <definedName name="auxiliar">#REF!</definedName>
    <definedName name="bacia16" localSheetId="6">#REF!</definedName>
    <definedName name="bacia16" localSheetId="3">#REF!</definedName>
    <definedName name="bacia16" localSheetId="0">#REF!</definedName>
    <definedName name="bacia16" localSheetId="1">#REF!</definedName>
    <definedName name="bacia16">#REF!</definedName>
    <definedName name="bdi" localSheetId="6">#REF!</definedName>
    <definedName name="bdi" localSheetId="3">#REF!</definedName>
    <definedName name="bdi" localSheetId="0">#REF!</definedName>
    <definedName name="bdi" localSheetId="1">#REF!</definedName>
    <definedName name="bdi">#REF!</definedName>
    <definedName name="capataz" localSheetId="6">#REF!</definedName>
    <definedName name="capataz" localSheetId="3">#REF!</definedName>
    <definedName name="capataz" localSheetId="0">#REF!</definedName>
    <definedName name="capataz" localSheetId="1">#REF!</definedName>
    <definedName name="capataz">#REF!</definedName>
    <definedName name="carpinteiro" localSheetId="6">#REF!</definedName>
    <definedName name="carpinteiro" localSheetId="3">#REF!</definedName>
    <definedName name="carpinteiro" localSheetId="0">#REF!</definedName>
    <definedName name="carpinteiro" localSheetId="1">#REF!</definedName>
    <definedName name="carpinteiro">#REF!</definedName>
    <definedName name="CC" localSheetId="6">#REF!</definedName>
    <definedName name="CC" localSheetId="3">#REF!</definedName>
    <definedName name="CC" localSheetId="0">#REF!</definedName>
    <definedName name="CC" localSheetId="1">#REF!</definedName>
    <definedName name="CC">#REF!</definedName>
    <definedName name="cccccc" localSheetId="6">#REF!</definedName>
    <definedName name="cccccc" localSheetId="3">#REF!</definedName>
    <definedName name="cccccc" localSheetId="0">#REF!</definedName>
    <definedName name="cccccc" localSheetId="1">#REF!</definedName>
    <definedName name="cccccc">#REF!</definedName>
    <definedName name="concreto15" localSheetId="6">#REF!</definedName>
    <definedName name="concreto15" localSheetId="3">#REF!</definedName>
    <definedName name="concreto15" localSheetId="0">#REF!</definedName>
    <definedName name="concreto15" localSheetId="1">#REF!</definedName>
    <definedName name="concreto15">#REF!</definedName>
    <definedName name="copiadowntown" localSheetId="3" hidden="1">{"características",#N/A,TRUE,"Imprime1";"ciclos",#N/A,TRUE,"Imprime1"}</definedName>
    <definedName name="copiadowntown" hidden="1">{"características",#N/A,TRUE,"Imprime1";"ciclos",#N/A,TRUE,"Imprime1"}</definedName>
    <definedName name="cpaux" localSheetId="6">#REF!</definedName>
    <definedName name="cpaux" localSheetId="3">#REF!</definedName>
    <definedName name="cpaux" localSheetId="0">#REF!</definedName>
    <definedName name="cpaux" localSheetId="1">#REF!</definedName>
    <definedName name="cpaux">#REF!</definedName>
    <definedName name="CPU" localSheetId="6">#REF!</definedName>
    <definedName name="CPU" localSheetId="3">#REF!</definedName>
    <definedName name="CPU" localSheetId="0">#REF!</definedName>
    <definedName name="CPU" localSheetId="1">#REF!</definedName>
    <definedName name="CPU">#REF!</definedName>
    <definedName name="crav3Tr32" localSheetId="6">#REF!</definedName>
    <definedName name="crav3Tr32" localSheetId="3">#REF!</definedName>
    <definedName name="crav3Tr32" localSheetId="0">#REF!</definedName>
    <definedName name="crav3Tr32" localSheetId="1">#REF!</definedName>
    <definedName name="crav3Tr32">#REF!</definedName>
    <definedName name="cravTr68" localSheetId="6">#REF!</definedName>
    <definedName name="cravTr68" localSheetId="3">#REF!</definedName>
    <definedName name="cravTr68" localSheetId="0">#REF!</definedName>
    <definedName name="cravTr68" localSheetId="1">#REF!</definedName>
    <definedName name="cravTr68">#REF!</definedName>
    <definedName name="CustoPMVC" localSheetId="6">#REF!</definedName>
    <definedName name="CustoPMVC" localSheetId="3">#REF!</definedName>
    <definedName name="CustoPMVC" localSheetId="0">#REF!</definedName>
    <definedName name="CustoPMVC" localSheetId="1">#REF!</definedName>
    <definedName name="CustoPMVC">#REF!</definedName>
    <definedName name="DDD" localSheetId="6">#REF!</definedName>
    <definedName name="DDD" localSheetId="3">#REF!</definedName>
    <definedName name="DDD" localSheetId="0">#REF!</definedName>
    <definedName name="DDD">#REF!</definedName>
    <definedName name="dfdf" localSheetId="6">#REF!</definedName>
    <definedName name="dfdf" localSheetId="3">#REF!</definedName>
    <definedName name="dfdf" localSheetId="0">#REF!</definedName>
    <definedName name="dfdf" localSheetId="1">#REF!</definedName>
    <definedName name="dfdf">#REF!</definedName>
    <definedName name="elevação" localSheetId="6">#REF!</definedName>
    <definedName name="elevação" localSheetId="3">#REF!</definedName>
    <definedName name="elevação" localSheetId="0">#REF!</definedName>
    <definedName name="elevação" localSheetId="1">#REF!</definedName>
    <definedName name="elevação">#REF!</definedName>
    <definedName name="encarregadoAr" localSheetId="6">#REF!</definedName>
    <definedName name="encarregadoAr" localSheetId="3">#REF!</definedName>
    <definedName name="encarregadoAr" localSheetId="0">#REF!</definedName>
    <definedName name="encarregadoAr" localSheetId="1">#REF!</definedName>
    <definedName name="encarregadoAr">#REF!</definedName>
    <definedName name="enchimento" localSheetId="6">#REF!</definedName>
    <definedName name="enchimento" localSheetId="3">#REF!</definedName>
    <definedName name="enchimento" localSheetId="0">#REF!</definedName>
    <definedName name="enchimento" localSheetId="1">#REF!</definedName>
    <definedName name="enchimento">#REF!</definedName>
    <definedName name="engenheiro" localSheetId="6">#REF!</definedName>
    <definedName name="engenheiro" localSheetId="3">#REF!</definedName>
    <definedName name="engenheiro" localSheetId="0">#REF!</definedName>
    <definedName name="engenheiro" localSheetId="1">#REF!</definedName>
    <definedName name="engenheiro">#REF!</definedName>
    <definedName name="enroPA" localSheetId="6">#REF!</definedName>
    <definedName name="enroPA" localSheetId="3">#REF!</definedName>
    <definedName name="enroPA" localSheetId="0">#REF!</definedName>
    <definedName name="enroPA" localSheetId="1">#REF!</definedName>
    <definedName name="enroPA">#REF!</definedName>
    <definedName name="ensecadeira5" localSheetId="6">#REF!</definedName>
    <definedName name="ensecadeira5" localSheetId="3">#REF!</definedName>
    <definedName name="ensecadeira5" localSheetId="0">#REF!</definedName>
    <definedName name="ensecadeira5" localSheetId="1">#REF!</definedName>
    <definedName name="ensecadeira5">#REF!</definedName>
    <definedName name="escavacao.2" localSheetId="6">#REF!</definedName>
    <definedName name="escavacao.2" localSheetId="3">#REF!</definedName>
    <definedName name="escavacao.2" localSheetId="0">#REF!</definedName>
    <definedName name="escavacao.2" localSheetId="1">#REF!</definedName>
    <definedName name="escavacao.2">#REF!</definedName>
    <definedName name="escoramentof" localSheetId="6">#REF!</definedName>
    <definedName name="escoramentof" localSheetId="3">#REF!</definedName>
    <definedName name="escoramentof" localSheetId="0">#REF!</definedName>
    <definedName name="escoramentof" localSheetId="1">#REF!</definedName>
    <definedName name="escoramentof">#REF!</definedName>
    <definedName name="ESS" localSheetId="6">#REF!</definedName>
    <definedName name="ESS" localSheetId="3">#REF!</definedName>
    <definedName name="ESS" localSheetId="0">#REF!</definedName>
    <definedName name="ESS">#REF!</definedName>
    <definedName name="Excel_BuiltIn_Print_Area_2">"$#REF!.$A$8:$D$82"</definedName>
    <definedName name="Excel_BuiltIn_Print_Area_2_1_1">"$#REF!.$A$7:$J$73"</definedName>
    <definedName name="Excel_BuiltIn_Print_Area_3">"$#REF!.$A$8:$D$76"</definedName>
    <definedName name="Excel_BuiltIn_Print_Area_3_1">"$#REF!.$A$7:$K$92"</definedName>
    <definedName name="Excel_BuiltIn_Print_Area_3_1_1">"$#REF!.$A$7:$K$91"</definedName>
    <definedName name="Excel_BuiltIn_Print_Titles_3_1">"$#REF!.$A$7:$IV$15"</definedName>
    <definedName name="f" localSheetId="6">#REF!</definedName>
    <definedName name="f" localSheetId="3">#REF!</definedName>
    <definedName name="f" localSheetId="0">#REF!</definedName>
    <definedName name="f" localSheetId="1">#REF!</definedName>
    <definedName name="f">#REF!</definedName>
    <definedName name="feitor" localSheetId="6">#REF!</definedName>
    <definedName name="feitor" localSheetId="3">#REF!</definedName>
    <definedName name="feitor" localSheetId="0">#REF!</definedName>
    <definedName name="feitor" localSheetId="1">#REF!</definedName>
    <definedName name="feitor">#REF!</definedName>
    <definedName name="ferreiro" localSheetId="6">#REF!</definedName>
    <definedName name="ferreiro" localSheetId="3">#REF!</definedName>
    <definedName name="ferreiro" localSheetId="0">#REF!</definedName>
    <definedName name="ferreiro" localSheetId="1">#REF!</definedName>
    <definedName name="ferreiro">#REF!</definedName>
    <definedName name="financ">'[1]CRON. FÍSICO-FINANCEIRO HABIT.'!$G$6</definedName>
    <definedName name="forcortdob" localSheetId="6">#REF!</definedName>
    <definedName name="forcortdob" localSheetId="3">#REF!</definedName>
    <definedName name="forcortdob" localSheetId="0">#REF!</definedName>
    <definedName name="forcortdob" localSheetId="1">#REF!</definedName>
    <definedName name="forcortdob">#REF!</definedName>
    <definedName name="formacurva" localSheetId="6">#REF!</definedName>
    <definedName name="formacurva" localSheetId="3">#REF!</definedName>
    <definedName name="formacurva" localSheetId="0">#REF!</definedName>
    <definedName name="formacurva" localSheetId="1">#REF!</definedName>
    <definedName name="formacurva">#REF!</definedName>
    <definedName name="formaplana" localSheetId="6">#REF!</definedName>
    <definedName name="formaplana" localSheetId="3">#REF!</definedName>
    <definedName name="formaplana" localSheetId="0">#REF!</definedName>
    <definedName name="formaplana" localSheetId="1">#REF!</definedName>
    <definedName name="formaplana">#REF!</definedName>
    <definedName name="fornec3Tr32" localSheetId="6">#REF!</definedName>
    <definedName name="fornec3Tr32" localSheetId="3">#REF!</definedName>
    <definedName name="fornec3Tr32" localSheetId="0">#REF!</definedName>
    <definedName name="fornec3Tr32" localSheetId="1">#REF!</definedName>
    <definedName name="fornec3Tr32">#REF!</definedName>
    <definedName name="fornecTr68" localSheetId="6">#REF!</definedName>
    <definedName name="fornecTr68" localSheetId="3">#REF!</definedName>
    <definedName name="fornecTr68" localSheetId="0">#REF!</definedName>
    <definedName name="fornecTr68" localSheetId="1">#REF!</definedName>
    <definedName name="fornecTr68">#REF!</definedName>
    <definedName name="furador" localSheetId="6">#REF!</definedName>
    <definedName name="furador" localSheetId="3">#REF!</definedName>
    <definedName name="furador" localSheetId="0">#REF!</definedName>
    <definedName name="furador" localSheetId="1">#REF!</definedName>
    <definedName name="furador">#REF!</definedName>
    <definedName name="gcorpo" localSheetId="6">#REF!</definedName>
    <definedName name="gcorpo" localSheetId="3">#REF!</definedName>
    <definedName name="gcorpo" localSheetId="0">#REF!</definedName>
    <definedName name="gcorpo" localSheetId="1">#REF!</definedName>
    <definedName name="gcorpo">#REF!</definedName>
    <definedName name="geral" localSheetId="6">#REF!</definedName>
    <definedName name="geral" localSheetId="3">#REF!</definedName>
    <definedName name="geral" localSheetId="0">#REF!</definedName>
    <definedName name="geral" localSheetId="1">#REF!</definedName>
    <definedName name="geral">#REF!</definedName>
    <definedName name="_xlnm.Recorder" localSheetId="6">#REF!</definedName>
    <definedName name="_xlnm.Recorder" localSheetId="3">#REF!</definedName>
    <definedName name="_xlnm.Recorder" localSheetId="0">#REF!</definedName>
    <definedName name="_xlnm.Recorder" localSheetId="1">#REF!</definedName>
    <definedName name="_xlnm.Recorder">#REF!</definedName>
    <definedName name="hbomba" localSheetId="6">#REF!</definedName>
    <definedName name="hbomba" localSheetId="3">#REF!</definedName>
    <definedName name="hbomba" localSheetId="0">#REF!</definedName>
    <definedName name="hbomba" localSheetId="1">#REF!</definedName>
    <definedName name="hbomba">#REF!</definedName>
    <definedName name="INSUMOS" localSheetId="6">#REF!</definedName>
    <definedName name="INSUMOS" localSheetId="3">#REF!</definedName>
    <definedName name="INSUMOS" localSheetId="0">#REF!</definedName>
    <definedName name="INSUMOS" localSheetId="1">#REF!</definedName>
    <definedName name="INSUMOS">#REF!</definedName>
    <definedName name="jeribu" localSheetId="6">#REF!</definedName>
    <definedName name="jeribu" localSheetId="3">#REF!</definedName>
    <definedName name="jeribu" localSheetId="0">#REF!</definedName>
    <definedName name="jeribu" localSheetId="1">#REF!</definedName>
    <definedName name="jeribu">#REF!</definedName>
    <definedName name="k" localSheetId="6">#REF!</definedName>
    <definedName name="k" localSheetId="3">#REF!</definedName>
    <definedName name="k" localSheetId="0">#REF!</definedName>
    <definedName name="k" localSheetId="1">#REF!</definedName>
    <definedName name="k">#REF!</definedName>
    <definedName name="kg" localSheetId="6">#REF!</definedName>
    <definedName name="kg" localSheetId="3">#REF!</definedName>
    <definedName name="kg" localSheetId="0">#REF!</definedName>
    <definedName name="kg" localSheetId="1">#REF!</definedName>
    <definedName name="kg">#REF!</definedName>
    <definedName name="lama" localSheetId="6">#REF!</definedName>
    <definedName name="lama" localSheetId="3">#REF!</definedName>
    <definedName name="lama" localSheetId="0">#REF!</definedName>
    <definedName name="lama" localSheetId="1">#REF!</definedName>
    <definedName name="lama">#REF!</definedName>
    <definedName name="leis" localSheetId="6">#REF!</definedName>
    <definedName name="leis" localSheetId="3">#REF!</definedName>
    <definedName name="leis" localSheetId="0">#REF!</definedName>
    <definedName name="leis" localSheetId="1">#REF!</definedName>
    <definedName name="leis">#REF!</definedName>
    <definedName name="Macro101" localSheetId="6">[2]!Macro16</definedName>
    <definedName name="Macro101" localSheetId="3">[2]!Macro16</definedName>
    <definedName name="Macro101" localSheetId="0">[2]!Macro16</definedName>
    <definedName name="Macro101" localSheetId="1">[2]!Macro16</definedName>
    <definedName name="Macro101">[2]!Macro16</definedName>
    <definedName name="Macro16">#N/A</definedName>
    <definedName name="mãodeobra" localSheetId="6">#REF!</definedName>
    <definedName name="mãodeobra" localSheetId="3">#REF!</definedName>
    <definedName name="mãodeobra" localSheetId="0">#REF!</definedName>
    <definedName name="mãodeobra" localSheetId="1">#REF!</definedName>
    <definedName name="mãodeobra">#REF!</definedName>
    <definedName name="massacara" localSheetId="6">#REF!</definedName>
    <definedName name="massacara" localSheetId="3">#REF!</definedName>
    <definedName name="massacara" localSheetId="0">#REF!</definedName>
    <definedName name="massacara" localSheetId="1">#REF!</definedName>
    <definedName name="massacara">#REF!</definedName>
    <definedName name="materiais" localSheetId="6">#REF!</definedName>
    <definedName name="materiais" localSheetId="3">#REF!</definedName>
    <definedName name="materiais" localSheetId="0">#REF!</definedName>
    <definedName name="materiais" localSheetId="1">#REF!</definedName>
    <definedName name="materiais">#REF!</definedName>
    <definedName name="mestre" localSheetId="6">#REF!</definedName>
    <definedName name="mestre" localSheetId="3">#REF!</definedName>
    <definedName name="mestre" localSheetId="0">#REF!</definedName>
    <definedName name="mestre" localSheetId="1">#REF!</definedName>
    <definedName name="mestre">#REF!</definedName>
    <definedName name="nome" localSheetId="6">#REF!</definedName>
    <definedName name="nome" localSheetId="3">#REF!</definedName>
    <definedName name="nome" localSheetId="0">#REF!</definedName>
    <definedName name="nome" localSheetId="1">#REF!</definedName>
    <definedName name="nome">#REF!</definedName>
    <definedName name="NOVOS" localSheetId="6">#REF!</definedName>
    <definedName name="NOVOS" localSheetId="3">#REF!</definedName>
    <definedName name="NOVOS" localSheetId="0">#REF!</definedName>
    <definedName name="NOVOS" localSheetId="1">#REF!</definedName>
    <definedName name="NOVOS">#REF!</definedName>
    <definedName name="operabate" localSheetId="6">#REF!</definedName>
    <definedName name="operabate" localSheetId="3">#REF!</definedName>
    <definedName name="operabate" localSheetId="0">#REF!</definedName>
    <definedName name="operabate" localSheetId="1">#REF!</definedName>
    <definedName name="operabate">#REF!</definedName>
    <definedName name="ORÇAMENTO" localSheetId="3" hidden="1">{"características",#N/A,TRUE,"Imprime1";"ciclos",#N/A,TRUE,"Imprime1"}</definedName>
    <definedName name="ORÇAMENTO" hidden="1">{"características",#N/A,TRUE,"Imprime1";"ciclos",#N/A,TRUE,"Imprime1"}</definedName>
    <definedName name="paux" localSheetId="6">#REF!</definedName>
    <definedName name="paux" localSheetId="3">#REF!</definedName>
    <definedName name="paux" localSheetId="0">#REF!</definedName>
    <definedName name="paux" localSheetId="1">#REF!</definedName>
    <definedName name="paux">#REF!</definedName>
    <definedName name="pedreiro" localSheetId="6">#REF!</definedName>
    <definedName name="pedreiro" localSheetId="3">#REF!</definedName>
    <definedName name="pedreiro" localSheetId="0">#REF!</definedName>
    <definedName name="pedreiro" localSheetId="1">#REF!</definedName>
    <definedName name="pedreiro">#REF!</definedName>
    <definedName name="pinturas" localSheetId="6">#REF!</definedName>
    <definedName name="pinturas" localSheetId="3">#REF!</definedName>
    <definedName name="pinturas" localSheetId="0">#REF!</definedName>
    <definedName name="pinturas" localSheetId="1">#REF!</definedName>
    <definedName name="pinturas">#REF!</definedName>
    <definedName name="PLAN" localSheetId="6">#REF!</definedName>
    <definedName name="PLAN" localSheetId="3">#REF!</definedName>
    <definedName name="PLAN" localSheetId="0">#REF!</definedName>
    <definedName name="PLAN" localSheetId="1">#REF!</definedName>
    <definedName name="PLAN">#REF!</definedName>
    <definedName name="PLANILHA" localSheetId="6">#REF!</definedName>
    <definedName name="PLANILHA" localSheetId="3">#REF!</definedName>
    <definedName name="PLANILHA" localSheetId="0">#REF!</definedName>
    <definedName name="PLANILHA" localSheetId="1">#REF!</definedName>
    <definedName name="PLANILHA">#REF!</definedName>
    <definedName name="ponteest1650" localSheetId="6">#REF!</definedName>
    <definedName name="ponteest1650" localSheetId="3">#REF!</definedName>
    <definedName name="ponteest1650" localSheetId="0">#REF!</definedName>
    <definedName name="ponteest1650" localSheetId="1">#REF!</definedName>
    <definedName name="ponteest1650">#REF!</definedName>
    <definedName name="ponteest856" localSheetId="6">#REF!</definedName>
    <definedName name="ponteest856" localSheetId="3">#REF!</definedName>
    <definedName name="ponteest856" localSheetId="0">#REF!</definedName>
    <definedName name="ponteest856" localSheetId="1">#REF!</definedName>
    <definedName name="ponteest856">#REF!</definedName>
    <definedName name="ponteest894" localSheetId="6">#REF!</definedName>
    <definedName name="ponteest894" localSheetId="3">#REF!</definedName>
    <definedName name="ponteest894" localSheetId="0">#REF!</definedName>
    <definedName name="ponteest894" localSheetId="1">#REF!</definedName>
    <definedName name="ponteest894">#REF!</definedName>
    <definedName name="PRECO" localSheetId="6">#REF!</definedName>
    <definedName name="PRECO" localSheetId="3">#REF!</definedName>
    <definedName name="PRECO" localSheetId="0">#REF!</definedName>
    <definedName name="PRECO" localSheetId="1">#REF!</definedName>
    <definedName name="PRECO">#REF!</definedName>
    <definedName name="preco1" localSheetId="6">#REF!</definedName>
    <definedName name="preco1" localSheetId="3">#REF!</definedName>
    <definedName name="preco1" localSheetId="0">#REF!</definedName>
    <definedName name="preco1" localSheetId="1">#REF!</definedName>
    <definedName name="preco1">#REF!</definedName>
    <definedName name="PRINT_AREA_MI" localSheetId="6">#REF!</definedName>
    <definedName name="PRINT_AREA_MI" localSheetId="3">#REF!</definedName>
    <definedName name="PRINT_AREA_MI" localSheetId="0">#REF!</definedName>
    <definedName name="PRINT_AREA_MI" localSheetId="1">#REF!</definedName>
    <definedName name="PRINT_AREA_MI">#REF!</definedName>
    <definedName name="PRINT_TITLES_MI" localSheetId="6">#REF!</definedName>
    <definedName name="PRINT_TITLES_MI" localSheetId="3">#REF!</definedName>
    <definedName name="PRINT_TITLES_MI" localSheetId="0">#REF!</definedName>
    <definedName name="PRINT_TITLES_MI" localSheetId="1">#REF!</definedName>
    <definedName name="PRINT_TITLES_MI">#REF!</definedName>
    <definedName name="queiroz" localSheetId="6">#REF!</definedName>
    <definedName name="queiroz" localSheetId="3">#REF!</definedName>
    <definedName name="queiroz" localSheetId="0">#REF!</definedName>
    <definedName name="queiroz" localSheetId="1">#REF!</definedName>
    <definedName name="queiroz">#REF!</definedName>
    <definedName name="s" localSheetId="6">#REF!</definedName>
    <definedName name="s" localSheetId="3">#REF!</definedName>
    <definedName name="s" localSheetId="0">#REF!</definedName>
    <definedName name="s" localSheetId="1">#REF!</definedName>
    <definedName name="s">#REF!</definedName>
    <definedName name="SBDBBBF" localSheetId="6">#REF!</definedName>
    <definedName name="SBDBBBF" localSheetId="3">#REF!</definedName>
    <definedName name="SBDBBBF" localSheetId="0">#REF!</definedName>
    <definedName name="SBDBBBF" localSheetId="1">#REF!</definedName>
    <definedName name="SBDBBBF">#REF!</definedName>
    <definedName name="servente" localSheetId="6">#REF!</definedName>
    <definedName name="servente" localSheetId="3">#REF!</definedName>
    <definedName name="servente" localSheetId="0">#REF!</definedName>
    <definedName name="servente" localSheetId="1">#REF!</definedName>
    <definedName name="servente">#REF!</definedName>
    <definedName name="serventep" localSheetId="6">#REF!</definedName>
    <definedName name="serventep" localSheetId="3">#REF!</definedName>
    <definedName name="serventep" localSheetId="0">#REF!</definedName>
    <definedName name="serventep" localSheetId="1">#REF!</definedName>
    <definedName name="serventep">#REF!</definedName>
    <definedName name="servi" localSheetId="6">#REF!</definedName>
    <definedName name="servi" localSheetId="3">#REF!</definedName>
    <definedName name="servi" localSheetId="0">#REF!</definedName>
    <definedName name="servi" localSheetId="1">#REF!</definedName>
    <definedName name="servi">#REF!</definedName>
    <definedName name="serviçosterceirizados" localSheetId="6">#REF!</definedName>
    <definedName name="serviçosterceirizados" localSheetId="3">#REF!</definedName>
    <definedName name="serviçosterceirizados" localSheetId="0">#REF!</definedName>
    <definedName name="serviçosterceirizados" localSheetId="1">#REF!</definedName>
    <definedName name="serviçosterceirizados">#REF!</definedName>
    <definedName name="SINAPI_OUTUBRO" localSheetId="6">#REF!</definedName>
    <definedName name="SINAPI_OUTUBRO" localSheetId="3">#REF!</definedName>
    <definedName name="SINAPI_OUTUBRO" localSheetId="0">#REF!</definedName>
    <definedName name="SINAPI_OUTUBRO" localSheetId="1">#REF!</definedName>
    <definedName name="SINAPI_OUTUBRO">#REF!</definedName>
    <definedName name="soldador" localSheetId="6">#REF!</definedName>
    <definedName name="soldador" localSheetId="3">#REF!</definedName>
    <definedName name="soldador" localSheetId="0">#REF!</definedName>
    <definedName name="soldador" localSheetId="1">#REF!</definedName>
    <definedName name="soldador">#REF!</definedName>
    <definedName name="solver_lin" hidden="1">0</definedName>
    <definedName name="solver_num" hidden="1">0</definedName>
    <definedName name="solver_typ" hidden="1">1</definedName>
    <definedName name="solver_val" hidden="1">0</definedName>
    <definedName name="Swvu.Características." localSheetId="6" hidden="1">#REF!</definedName>
    <definedName name="Swvu.Características." localSheetId="3" hidden="1">#REF!</definedName>
    <definedName name="Swvu.Características." localSheetId="0" hidden="1">#REF!</definedName>
    <definedName name="Swvu.Características." localSheetId="1" hidden="1">#REF!</definedName>
    <definedName name="Swvu.Características." hidden="1">#REF!</definedName>
    <definedName name="Swvu.Ciclos." localSheetId="6" hidden="1">#REF!</definedName>
    <definedName name="Swvu.Ciclos." localSheetId="3" hidden="1">#REF!</definedName>
    <definedName name="Swvu.Ciclos." localSheetId="0" hidden="1">#REF!</definedName>
    <definedName name="Swvu.Ciclos." localSheetId="1" hidden="1">#REF!</definedName>
    <definedName name="Swvu.Ciclos." hidden="1">#REF!</definedName>
    <definedName name="Swvu.Custos." localSheetId="6" hidden="1">#REF!</definedName>
    <definedName name="Swvu.Custos." localSheetId="3" hidden="1">#REF!</definedName>
    <definedName name="Swvu.Custos." localSheetId="0" hidden="1">#REF!</definedName>
    <definedName name="Swvu.Custos." localSheetId="1" hidden="1">#REF!</definedName>
    <definedName name="Swvu.Custos." hidden="1">#REF!</definedName>
    <definedName name="Swvu.Recursos." localSheetId="6" hidden="1">#REF!</definedName>
    <definedName name="Swvu.Recursos." localSheetId="3" hidden="1">#REF!</definedName>
    <definedName name="Swvu.Recursos." localSheetId="0" hidden="1">#REF!</definedName>
    <definedName name="Swvu.Recursos." localSheetId="1" hidden="1">#REF!</definedName>
    <definedName name="Swvu.Recursos." hidden="1">#REF!</definedName>
    <definedName name="teste" localSheetId="6">#REF!</definedName>
    <definedName name="teste" localSheetId="3">#REF!</definedName>
    <definedName name="teste" localSheetId="0">#REF!</definedName>
    <definedName name="teste" localSheetId="1">#REF!</definedName>
    <definedName name="teste">#REF!</definedName>
    <definedName name="teste1" localSheetId="6">#REF!</definedName>
    <definedName name="teste1" localSheetId="3">#REF!</definedName>
    <definedName name="teste1" localSheetId="0">#REF!</definedName>
    <definedName name="teste1" localSheetId="1">#REF!</definedName>
    <definedName name="teste1">#REF!</definedName>
    <definedName name="teste2" localSheetId="6">#REF!</definedName>
    <definedName name="teste2" localSheetId="3">#REF!</definedName>
    <definedName name="teste2" localSheetId="0">#REF!</definedName>
    <definedName name="teste2" localSheetId="1">#REF!</definedName>
    <definedName name="teste2">#REF!</definedName>
    <definedName name="teste3" localSheetId="6">#REF!</definedName>
    <definedName name="teste3" localSheetId="3">#REF!</definedName>
    <definedName name="teste3" localSheetId="0">#REF!</definedName>
    <definedName name="teste3" localSheetId="1">#REF!</definedName>
    <definedName name="teste3">#REF!</definedName>
    <definedName name="Tijuipe" localSheetId="6">#REF!</definedName>
    <definedName name="Tijuipe" localSheetId="3">#REF!</definedName>
    <definedName name="Tijuipe" localSheetId="0">#REF!</definedName>
    <definedName name="Tijuipe" localSheetId="1">#REF!</definedName>
    <definedName name="Tijuipe">#REF!</definedName>
    <definedName name="tijuipinho" localSheetId="6">#REF!</definedName>
    <definedName name="tijuipinho" localSheetId="3">#REF!</definedName>
    <definedName name="tijuipinho" localSheetId="0">#REF!</definedName>
    <definedName name="tijuipinho" localSheetId="1">#REF!</definedName>
    <definedName name="tijuipinho">#REF!</definedName>
    <definedName name="TiposObras">[3]DADOS!$A$1:$A$6</definedName>
    <definedName name="TITULO" localSheetId="6">#REF!</definedName>
    <definedName name="TITULO" localSheetId="3">#REF!</definedName>
    <definedName name="TITULO" localSheetId="0">#REF!</definedName>
    <definedName name="TITULO" localSheetId="1">#REF!</definedName>
    <definedName name="TITULO">#REF!</definedName>
    <definedName name="_xlnm.Print_Titles" localSheetId="6">#REF!</definedName>
    <definedName name="_xlnm.Print_Titles" localSheetId="3">#REF!</definedName>
    <definedName name="_xlnm.Print_Titles" localSheetId="0">'ORÇ. REFORMA'!$9:$9</definedName>
    <definedName name="_xlnm.Print_Titles" localSheetId="1">ORÇAMENTO!$9:$9</definedName>
    <definedName name="_xlnm.Print_Titles">#REF!</definedName>
    <definedName name="topógrafo" localSheetId="6">#REF!</definedName>
    <definedName name="topógrafo" localSheetId="3">#REF!</definedName>
    <definedName name="topógrafo" localSheetId="0">#REF!</definedName>
    <definedName name="topógrafo" localSheetId="1">#REF!</definedName>
    <definedName name="topógrafo">#REF!</definedName>
    <definedName name="transolo" localSheetId="6">#REF!</definedName>
    <definedName name="transolo" localSheetId="3">#REF!</definedName>
    <definedName name="transolo" localSheetId="0">#REF!</definedName>
    <definedName name="transolo" localSheetId="1">#REF!</definedName>
    <definedName name="transolo">#REF!</definedName>
    <definedName name="tubulão" localSheetId="6">#REF!</definedName>
    <definedName name="tubulão" localSheetId="3">#REF!</definedName>
    <definedName name="tubulão" localSheetId="0">#REF!</definedName>
    <definedName name="tubulão" localSheetId="1">#REF!</definedName>
    <definedName name="tubulão">#REF!</definedName>
    <definedName name="tubulCA" localSheetId="6">#REF!</definedName>
    <definedName name="tubulCA" localSheetId="3">#REF!</definedName>
    <definedName name="tubulCA" localSheetId="0">#REF!</definedName>
    <definedName name="tubulCA" localSheetId="1">#REF!</definedName>
    <definedName name="tubulCA">#REF!</definedName>
    <definedName name="usodeequipamentos" localSheetId="6">#REF!</definedName>
    <definedName name="usodeequipamentos" localSheetId="3">#REF!</definedName>
    <definedName name="usodeequipamentos" localSheetId="0">#REF!</definedName>
    <definedName name="usodeequipamentos" localSheetId="1">#REF!</definedName>
    <definedName name="usodeequipamentos">#REF!</definedName>
    <definedName name="vigia" localSheetId="6">#REF!</definedName>
    <definedName name="vigia" localSheetId="3">#REF!</definedName>
    <definedName name="vigia" localSheetId="0">#REF!</definedName>
    <definedName name="vigia" localSheetId="1">#REF!</definedName>
    <definedName name="vigia">#REF!</definedName>
    <definedName name="w" localSheetId="6">#REF!</definedName>
    <definedName name="w" localSheetId="3">#REF!</definedName>
    <definedName name="w" localSheetId="0">#REF!</definedName>
    <definedName name="w" localSheetId="1">#REF!</definedName>
    <definedName name="w">#REF!</definedName>
    <definedName name="wrn.relat1" localSheetId="3" hidden="1">{"características",#N/A,TRUE,"Imprime1";"ciclos",#N/A,TRUE,"Imprime1"}</definedName>
    <definedName name="wrn.relat1" hidden="1">{"características",#N/A,TRUE,"Imprime1";"ciclos",#N/A,TRUE,"Imprime1"}</definedName>
    <definedName name="wrn.relat1." localSheetId="3" hidden="1">{"características",#N/A,TRUE,"Imprime1";"ciclos",#N/A,TRUE,"Imprime1"}</definedName>
    <definedName name="wrn.relat1." hidden="1">{"características",#N/A,TRUE,"Imprime1";"ciclos",#N/A,TRUE,"Imprime1"}</definedName>
    <definedName name="wrn.relat2." localSheetId="3" hidden="1">{"Características",#N/A,TRUE,"Imprime1";"Custos",#N/A,TRUE,"Imprime1"}</definedName>
    <definedName name="wrn.relat2." hidden="1">{"Características",#N/A,TRUE,"Imprime1";"Custos",#N/A,TRUE,"Imprime1"}</definedName>
    <definedName name="wvu.Características." localSheetId="3" hidden="1">{TRUE,FALSE,-2.75,-17,579.75,300.75,FALSE,TRUE,TRUE,FALSE,0,1,#N/A,1,#N/A,9.6125,21.1764705882353,1,FALSE,FALSE,3,TRUE,1,FALSE,100,"Swvu.Características.","ACwvu.Características.",#N/A,FALSE,FALSE,0.78740157480315,0.78740157480315,0.748031496062992,0.866141732283465,1,"","&amp;R&amp;P",TRUE,FALSE,FALSE,FALSE,1,100,#N/A,#N/A,"=R5C1:R64C8","=R1:R4",FALSE,FALSE,FALSE,FALSE,TRUE,9,300,300,FALSE,FALSE,TRUE,TRUE,TRUE}</definedName>
    <definedName name="wvu.Características." hidden="1">{TRUE,FALSE,-2.75,-17,579.75,300.75,FALSE,TRUE,TRUE,FALSE,0,1,#N/A,1,#N/A,9.6125,21.1764705882353,1,FALSE,FALSE,3,TRUE,1,FALSE,100,"Swvu.Características.","ACwvu.Características.",#N/A,FALSE,FALSE,0.78740157480315,0.78740157480315,0.748031496062992,0.866141732283465,1,"","&amp;R&amp;P",TRUE,FALSE,FALSE,FALSE,1,100,#N/A,#N/A,"=R5C1:R64C8","=R1:R4",FALSE,FALSE,FALSE,FALSE,TRUE,9,300,300,FALSE,FALSE,TRUE,TRUE,TRUE}</definedName>
    <definedName name="wvu.Ciclos." localSheetId="3" hidden="1">{TRUE,FALSE,-2.75,-17,579.75,300.75,FALSE,TRUE,TRUE,FALSE,0,1,#N/A,50,#N/A,9.6125,21,1,FALSE,FALSE,3,TRUE,1,FALSE,100,"Swvu.Ciclos.","ACwvu.Ciclos.",#N/A,FALSE,FALSE,0.78740157480315,0.78740157480315,0.748031496062992,0.866141732283465,1,"","&amp;R&amp;P",TRUE,FALSE,FALSE,FALSE,1,80,#N/A,#N/A,"=R65C1:R127C8","=R1:R4",FALSE,FALSE,FALSE,FALSE,TRUE,9,300,300,FALSE,FALSE,TRUE,TRUE,TRUE}</definedName>
    <definedName name="wvu.Ciclos." hidden="1">{TRUE,FALSE,-2.75,-17,579.75,300.75,FALSE,TRUE,TRUE,FALSE,0,1,#N/A,50,#N/A,9.6125,21,1,FALSE,FALSE,3,TRUE,1,FALSE,100,"Swvu.Ciclos.","ACwvu.Ciclos.",#N/A,FALSE,FALSE,0.78740157480315,0.78740157480315,0.748031496062992,0.866141732283465,1,"","&amp;R&amp;P",TRUE,FALSE,FALSE,FALSE,1,80,#N/A,#N/A,"=R65C1:R127C8","=R1:R4",FALSE,FALSE,FALSE,FALSE,TRUE,9,300,300,FALSE,FALSE,TRUE,TRUE,TRUE}</definedName>
    <definedName name="wvu.Custos." localSheetId="3" hidden="1">{TRUE,FALSE,-2.75,-17,579.75,300.75,FALSE,TRUE,TRUE,FALSE,0,1,#N/A,120,#N/A,9.6125,19.4705882352941,1,FALSE,FALSE,3,TRUE,1,FALSE,100,"Swvu.Custos.","ACwvu.Custos.",#N/A,FALSE,FALSE,0.78740157480315,0.78740157480315,0.748031496062992,0.866141732283465,1,"","&amp;R&amp;P",TRUE,FALSE,FALSE,FALSE,1,80,#N/A,#N/A,"=R129C1:R193C8","=R1:R4",FALSE,FALSE,FALSE,FALSE,TRUE,9,300,300,FALSE,FALSE,TRUE,TRUE,TRUE}</definedName>
    <definedName name="wvu.Custos." hidden="1">{TRUE,FALSE,-2.75,-17,579.75,300.75,FALSE,TRUE,TRUE,FALSE,0,1,#N/A,120,#N/A,9.6125,19.4705882352941,1,FALSE,FALSE,3,TRUE,1,FALSE,100,"Swvu.Custos.","ACwvu.Custos.",#N/A,FALSE,FALSE,0.78740157480315,0.78740157480315,0.748031496062992,0.866141732283465,1,"","&amp;R&amp;P",TRUE,FALSE,FALSE,FALSE,1,80,#N/A,#N/A,"=R129C1:R193C8","=R1:R4",FALSE,FALSE,FALSE,FALSE,TRUE,9,300,300,FALSE,FALSE,TRUE,TRUE,TRUE}</definedName>
    <definedName name="wvu.Recursos." localSheetId="3" hidden="1">{TRUE,FALSE,-2.75,-17,579.75,300.75,FALSE,TRUE,TRUE,FALSE,0,1,#N/A,186,#N/A,9.6125,19.4117647058824,1,FALSE,FALSE,3,TRUE,1,FALSE,100,"Swvu.Recursos.","ACwvu.Recursos.",#N/A,FALSE,FALSE,0.78740157480315,0.78740157480315,0.748031496062992,0.866141732283465,1,"","&amp;R&amp;P",TRUE,FALSE,FALSE,FALSE,1,80,#N/A,#N/A,"=R195C1:R259C8","=R1:R4",FALSE,FALSE,FALSE,FALSE,TRUE,9,300,300,FALSE,FALSE,TRUE,TRUE,TRUE}</definedName>
    <definedName name="wvu.Recursos." hidden="1">{TRUE,FALSE,-2.75,-17,579.75,300.75,FALSE,TRUE,TRUE,FALSE,0,1,#N/A,186,#N/A,9.6125,19.4117647058824,1,FALSE,FALSE,3,TRUE,1,FALSE,100,"Swvu.Recursos.","ACwvu.Recursos.",#N/A,FALSE,FALSE,0.78740157480315,0.78740157480315,0.748031496062992,0.866141732283465,1,"","&amp;R&amp;P",TRUE,FALSE,FALSE,FALSE,1,80,#N/A,#N/A,"=R195C1:R259C8","=R1:R4",FALSE,FALSE,FALSE,FALSE,TRUE,9,300,300,FALSE,FALSE,TRUE,TRUE,TRUE}</definedName>
    <definedName name="X" localSheetId="6">#REF!</definedName>
    <definedName name="X" localSheetId="3">#REF!</definedName>
    <definedName name="X" localSheetId="0">#REF!</definedName>
    <definedName name="X" localSheetId="1">#REF!</definedName>
    <definedName name="X">#REF!</definedName>
    <definedName name="xique" localSheetId="6">#REF!</definedName>
    <definedName name="xique" localSheetId="3">#REF!</definedName>
    <definedName name="xique" localSheetId="0">#REF!</definedName>
    <definedName name="xique" localSheetId="1">#REF!</definedName>
    <definedName name="xique">#REF!</definedName>
    <definedName name="y" localSheetId="6">#REF!</definedName>
    <definedName name="y" localSheetId="3">#REF!</definedName>
    <definedName name="y" localSheetId="0">#REF!</definedName>
    <definedName name="y" localSheetId="1">#REF!</definedName>
    <definedName name="y">#REF!</definedName>
  </definedNames>
  <calcPr calcId="181029"/>
</workbook>
</file>

<file path=xl/calcChain.xml><?xml version="1.0" encoding="utf-8"?>
<calcChain xmlns="http://schemas.openxmlformats.org/spreadsheetml/2006/main">
  <c r="F126" i="30" l="1"/>
  <c r="G158" i="30" l="1"/>
  <c r="H318" i="22"/>
  <c r="H319" i="22"/>
  <c r="H320" i="22"/>
  <c r="H322" i="22"/>
  <c r="H321" i="22"/>
  <c r="H317" i="22"/>
  <c r="H323" i="22" l="1"/>
  <c r="H13" i="22"/>
  <c r="H297" i="22" l="1"/>
  <c r="H296" i="22"/>
  <c r="J1" i="33" l="1"/>
  <c r="B70" i="32"/>
  <c r="B68" i="32"/>
  <c r="B66" i="32"/>
  <c r="B64" i="32"/>
  <c r="B62" i="32"/>
  <c r="B58" i="32"/>
  <c r="B60" i="32"/>
  <c r="B56" i="32"/>
  <c r="B54" i="32"/>
  <c r="B52" i="32"/>
  <c r="B50" i="32"/>
  <c r="B48" i="32"/>
  <c r="B46" i="32"/>
  <c r="B43" i="32"/>
  <c r="B41" i="32"/>
  <c r="B39" i="32"/>
  <c r="B37" i="32"/>
  <c r="B35" i="32"/>
  <c r="B33" i="32"/>
  <c r="B31" i="32"/>
  <c r="B29" i="32"/>
  <c r="B27" i="32"/>
  <c r="B25" i="32"/>
  <c r="B23" i="32"/>
  <c r="B21" i="32"/>
  <c r="B19" i="32"/>
  <c r="B17" i="32"/>
  <c r="C71" i="32"/>
  <c r="C69" i="32"/>
  <c r="C67" i="32"/>
  <c r="C65" i="32"/>
  <c r="C63" i="32"/>
  <c r="C61" i="32"/>
  <c r="C59" i="32"/>
  <c r="C57" i="32"/>
  <c r="C55" i="32"/>
  <c r="C53" i="32"/>
  <c r="C51" i="32"/>
  <c r="C49" i="32"/>
  <c r="C47" i="32"/>
  <c r="H311" i="22" l="1"/>
  <c r="H310" i="22"/>
  <c r="H309" i="22"/>
  <c r="F121" i="30"/>
  <c r="I121" i="30" s="1"/>
  <c r="H33" i="22"/>
  <c r="H34" i="22" s="1"/>
  <c r="G22" i="30" s="1"/>
  <c r="F240" i="30"/>
  <c r="AO35" i="34"/>
  <c r="AQ35" i="34"/>
  <c r="AQ34" i="34"/>
  <c r="AQ32" i="34"/>
  <c r="AQ31" i="34"/>
  <c r="AQ30" i="34"/>
  <c r="AQ29" i="34"/>
  <c r="AQ26" i="34"/>
  <c r="AQ25" i="34"/>
  <c r="AQ24" i="34"/>
  <c r="AQ23" i="34"/>
  <c r="AQ21" i="34"/>
  <c r="AQ20" i="34"/>
  <c r="AQ19" i="34"/>
  <c r="AQ18" i="34"/>
  <c r="AQ16" i="34"/>
  <c r="AQ15" i="34"/>
  <c r="AQ12" i="34"/>
  <c r="AQ10" i="34"/>
  <c r="F166" i="30"/>
  <c r="I166" i="30" s="1"/>
  <c r="F159" i="30"/>
  <c r="I159" i="30" s="1"/>
  <c r="F158" i="30"/>
  <c r="I158" i="30" s="1"/>
  <c r="H303" i="22"/>
  <c r="H304" i="22" s="1"/>
  <c r="I150" i="30"/>
  <c r="F145" i="30"/>
  <c r="J290" i="22"/>
  <c r="F290" i="22" s="1"/>
  <c r="H290" i="22" s="1"/>
  <c r="J289" i="22"/>
  <c r="J288" i="22"/>
  <c r="F288" i="22" s="1"/>
  <c r="J287" i="22"/>
  <c r="H287" i="22"/>
  <c r="J286" i="22"/>
  <c r="F286" i="22" s="1"/>
  <c r="J285" i="22"/>
  <c r="F285" i="22" s="1"/>
  <c r="AC14" i="34"/>
  <c r="H279" i="22"/>
  <c r="H278" i="22"/>
  <c r="J277" i="22"/>
  <c r="J276" i="22"/>
  <c r="J275" i="22"/>
  <c r="J274" i="22"/>
  <c r="H274" i="22"/>
  <c r="J273" i="22"/>
  <c r="F273" i="22" s="1"/>
  <c r="J272" i="22"/>
  <c r="AC17" i="34"/>
  <c r="H266" i="22"/>
  <c r="H265" i="22"/>
  <c r="H264" i="22"/>
  <c r="H263" i="22"/>
  <c r="H262" i="22"/>
  <c r="H261" i="22"/>
  <c r="J260" i="22"/>
  <c r="J259" i="22"/>
  <c r="F259" i="22" s="1"/>
  <c r="J258" i="22"/>
  <c r="F258" i="22" s="1"/>
  <c r="J257" i="22"/>
  <c r="F257" i="22" s="1"/>
  <c r="H257" i="22" s="1"/>
  <c r="J256" i="22"/>
  <c r="F256" i="22" s="1"/>
  <c r="H256" i="22" s="1"/>
  <c r="J255" i="22"/>
  <c r="F255" i="22" s="1"/>
  <c r="AC22" i="34"/>
  <c r="J247" i="22"/>
  <c r="F247" i="22" s="1"/>
  <c r="H247" i="22" s="1"/>
  <c r="J246" i="22"/>
  <c r="J245" i="22"/>
  <c r="J244" i="22"/>
  <c r="J243" i="22"/>
  <c r="F243" i="22" s="1"/>
  <c r="H243" i="22" s="1"/>
  <c r="J242" i="22"/>
  <c r="H249" i="22"/>
  <c r="H248" i="22"/>
  <c r="H244" i="22"/>
  <c r="H236" i="22"/>
  <c r="H235" i="22"/>
  <c r="H234" i="22"/>
  <c r="H233" i="22"/>
  <c r="H232" i="22"/>
  <c r="H231" i="22"/>
  <c r="AC32" i="34"/>
  <c r="H230" i="22"/>
  <c r="H229" i="22"/>
  <c r="J228" i="22"/>
  <c r="J227" i="22"/>
  <c r="F227" i="22" s="1"/>
  <c r="H227" i="22" s="1"/>
  <c r="J226" i="22"/>
  <c r="F226" i="22" s="1"/>
  <c r="J225" i="22"/>
  <c r="F225" i="22" s="1"/>
  <c r="H225" i="22" s="1"/>
  <c r="J224" i="22"/>
  <c r="J223" i="22"/>
  <c r="F223" i="22" s="1"/>
  <c r="AC31" i="34"/>
  <c r="H217" i="22"/>
  <c r="H216" i="22"/>
  <c r="J215" i="22"/>
  <c r="J214" i="22"/>
  <c r="F214" i="22" s="1"/>
  <c r="H214" i="22" s="1"/>
  <c r="J213" i="22"/>
  <c r="J212" i="22"/>
  <c r="H212" i="22"/>
  <c r="J211" i="22"/>
  <c r="F211" i="22" s="1"/>
  <c r="H211" i="22" s="1"/>
  <c r="J210" i="22"/>
  <c r="I177" i="30"/>
  <c r="AK35" i="34"/>
  <c r="AH29" i="34"/>
  <c r="AI29" i="34" s="1"/>
  <c r="F148" i="30"/>
  <c r="F149" i="30" s="1"/>
  <c r="AG37" i="34"/>
  <c r="F152" i="30" s="1"/>
  <c r="I152" i="30" s="1"/>
  <c r="AF35" i="34"/>
  <c r="AE35" i="34"/>
  <c r="AD35" i="34"/>
  <c r="F139" i="30"/>
  <c r="I139" i="30" s="1"/>
  <c r="Z35" i="34"/>
  <c r="F133" i="30"/>
  <c r="I133" i="30" s="1"/>
  <c r="W12" i="34"/>
  <c r="H55" i="34"/>
  <c r="H54" i="34"/>
  <c r="H53" i="34"/>
  <c r="F163" i="30" s="1"/>
  <c r="H52" i="34"/>
  <c r="F162" i="30" s="1"/>
  <c r="H51" i="34"/>
  <c r="H50" i="34"/>
  <c r="H49" i="34"/>
  <c r="F164" i="30" s="1"/>
  <c r="I164" i="30" s="1"/>
  <c r="H47" i="34"/>
  <c r="H46" i="34"/>
  <c r="F161" i="30" s="1"/>
  <c r="H45" i="34"/>
  <c r="H44" i="34"/>
  <c r="H43" i="34"/>
  <c r="F160" i="30" s="1"/>
  <c r="H42" i="34"/>
  <c r="AO37" i="34"/>
  <c r="AL37" i="34"/>
  <c r="F176" i="30" s="1"/>
  <c r="I176" i="30" s="1"/>
  <c r="AF37" i="34"/>
  <c r="F155" i="30" s="1"/>
  <c r="I155" i="30" s="1"/>
  <c r="AE37" i="34"/>
  <c r="F154" i="30" s="1"/>
  <c r="I154" i="30" s="1"/>
  <c r="AD37" i="34"/>
  <c r="AC37" i="34"/>
  <c r="Z37" i="34"/>
  <c r="F135" i="30" s="1"/>
  <c r="W37" i="34"/>
  <c r="F132" i="30" s="1"/>
  <c r="V37" i="34"/>
  <c r="F131" i="30" s="1"/>
  <c r="I131" i="30" s="1"/>
  <c r="K37" i="34"/>
  <c r="H37" i="34"/>
  <c r="AN35" i="34"/>
  <c r="AI35" i="34"/>
  <c r="AB35" i="34"/>
  <c r="AN34" i="34"/>
  <c r="AK34" i="34"/>
  <c r="AN33" i="34"/>
  <c r="AK33" i="34"/>
  <c r="AI33" i="34"/>
  <c r="AB33" i="34"/>
  <c r="S33" i="34"/>
  <c r="G33" i="34"/>
  <c r="E33" i="34"/>
  <c r="C33" i="34"/>
  <c r="AN32" i="34"/>
  <c r="AK32" i="34"/>
  <c r="AI32" i="34"/>
  <c r="AB32" i="34"/>
  <c r="Y32" i="34"/>
  <c r="U32" i="34"/>
  <c r="M32" i="34"/>
  <c r="G32" i="34"/>
  <c r="E32" i="34"/>
  <c r="C32" i="34"/>
  <c r="AN31" i="34"/>
  <c r="AK31" i="34"/>
  <c r="AI31" i="34"/>
  <c r="AB31" i="34"/>
  <c r="U31" i="34"/>
  <c r="G31" i="34"/>
  <c r="E31" i="34"/>
  <c r="C31" i="34"/>
  <c r="AN30" i="34"/>
  <c r="AK30" i="34"/>
  <c r="AI30" i="34"/>
  <c r="AB30" i="34"/>
  <c r="G30" i="34"/>
  <c r="E30" i="34"/>
  <c r="C30" i="34"/>
  <c r="AN29" i="34"/>
  <c r="AK29" i="34"/>
  <c r="AB29" i="34"/>
  <c r="G29" i="34"/>
  <c r="E29" i="34"/>
  <c r="C29" i="34"/>
  <c r="AN28" i="34"/>
  <c r="AK28" i="34"/>
  <c r="AI28" i="34"/>
  <c r="AB28" i="34"/>
  <c r="U28" i="34"/>
  <c r="S28" i="34"/>
  <c r="G28" i="34"/>
  <c r="E28" i="34"/>
  <c r="C28" i="34"/>
  <c r="AN27" i="34"/>
  <c r="AK27" i="34"/>
  <c r="AI27" i="34"/>
  <c r="AB27" i="34"/>
  <c r="U27" i="34"/>
  <c r="G27" i="34"/>
  <c r="E27" i="34"/>
  <c r="C27" i="34"/>
  <c r="AN26" i="34"/>
  <c r="AK26" i="34"/>
  <c r="AI26" i="34"/>
  <c r="AB26" i="34"/>
  <c r="G26" i="34"/>
  <c r="E26" i="34"/>
  <c r="C26" i="34"/>
  <c r="AN25" i="34"/>
  <c r="AK25" i="34"/>
  <c r="AI25" i="34"/>
  <c r="AB25" i="34"/>
  <c r="Q25" i="34"/>
  <c r="J25" i="34"/>
  <c r="G25" i="34"/>
  <c r="E25" i="34"/>
  <c r="B25" i="34"/>
  <c r="C25" i="34" s="1"/>
  <c r="AN24" i="34"/>
  <c r="AK24" i="34"/>
  <c r="AI24" i="34"/>
  <c r="AB24" i="34"/>
  <c r="J24" i="34"/>
  <c r="I24" i="34"/>
  <c r="G24" i="34"/>
  <c r="E24" i="34"/>
  <c r="C24" i="34"/>
  <c r="AN23" i="34"/>
  <c r="AK23" i="34"/>
  <c r="AI23" i="34"/>
  <c r="AB23" i="34"/>
  <c r="J23" i="34"/>
  <c r="I23" i="34"/>
  <c r="G23" i="34"/>
  <c r="E23" i="34"/>
  <c r="C23" i="34"/>
  <c r="AN22" i="34"/>
  <c r="AK22" i="34"/>
  <c r="AI22" i="34"/>
  <c r="AB22" i="34"/>
  <c r="Y22" i="34"/>
  <c r="U22" i="34"/>
  <c r="G22" i="34"/>
  <c r="E22" i="34"/>
  <c r="C22" i="34"/>
  <c r="AN21" i="34"/>
  <c r="AK21" i="34"/>
  <c r="AI21" i="34"/>
  <c r="AB21" i="34"/>
  <c r="Q21" i="34"/>
  <c r="J21" i="34"/>
  <c r="I21" i="34"/>
  <c r="G21" i="34"/>
  <c r="E21" i="34"/>
  <c r="B21" i="34"/>
  <c r="C21" i="34" s="1"/>
  <c r="AN20" i="34"/>
  <c r="AK20" i="34"/>
  <c r="AI20" i="34"/>
  <c r="AB20" i="34"/>
  <c r="M20" i="34"/>
  <c r="J20" i="34"/>
  <c r="I20" i="34"/>
  <c r="G20" i="34"/>
  <c r="E20" i="34"/>
  <c r="C20" i="34"/>
  <c r="AM19" i="34"/>
  <c r="AN19" i="34" s="1"/>
  <c r="AK19" i="34"/>
  <c r="AI19" i="34"/>
  <c r="AB19" i="34"/>
  <c r="G19" i="34"/>
  <c r="E19" i="34"/>
  <c r="C19" i="34"/>
  <c r="AN18" i="34"/>
  <c r="AK18" i="34"/>
  <c r="AI18" i="34"/>
  <c r="AB18" i="34"/>
  <c r="Q18" i="34"/>
  <c r="G18" i="34"/>
  <c r="E18" i="34"/>
  <c r="B18" i="34"/>
  <c r="C18" i="34" s="1"/>
  <c r="AN17" i="34"/>
  <c r="AK17" i="34"/>
  <c r="AI17" i="34"/>
  <c r="AB17" i="34"/>
  <c r="S17" i="34"/>
  <c r="G17" i="34"/>
  <c r="E17" i="34"/>
  <c r="C17" i="34"/>
  <c r="AN16" i="34"/>
  <c r="AK16" i="34"/>
  <c r="AI16" i="34"/>
  <c r="AB16" i="34"/>
  <c r="Y16" i="34"/>
  <c r="G16" i="34"/>
  <c r="E16" i="34"/>
  <c r="C16" i="34"/>
  <c r="AN15" i="34"/>
  <c r="AK15" i="34"/>
  <c r="AI15" i="34"/>
  <c r="AB15" i="34"/>
  <c r="Y15" i="34"/>
  <c r="G15" i="34"/>
  <c r="E15" i="34"/>
  <c r="C15" i="34"/>
  <c r="AN14" i="34"/>
  <c r="AK14" i="34"/>
  <c r="AB14" i="34"/>
  <c r="Y14" i="34"/>
  <c r="G14" i="34"/>
  <c r="E14" i="34"/>
  <c r="C14" i="34"/>
  <c r="AN13" i="34"/>
  <c r="AK13" i="34"/>
  <c r="AB13" i="34"/>
  <c r="G13" i="34"/>
  <c r="E13" i="34"/>
  <c r="C13" i="34"/>
  <c r="AN12" i="34"/>
  <c r="AK12" i="34"/>
  <c r="AB12" i="34"/>
  <c r="G12" i="34"/>
  <c r="E12" i="34"/>
  <c r="C12" i="34"/>
  <c r="AN11" i="34"/>
  <c r="AK11" i="34"/>
  <c r="AB11" i="34"/>
  <c r="S11" i="34"/>
  <c r="M11" i="34"/>
  <c r="G11" i="34"/>
  <c r="E11" i="34"/>
  <c r="C11" i="34"/>
  <c r="AN10" i="34"/>
  <c r="AK10" i="34"/>
  <c r="AB10" i="34"/>
  <c r="S10" i="34"/>
  <c r="G10" i="34"/>
  <c r="E10" i="34"/>
  <c r="C10" i="34"/>
  <c r="B5" i="34"/>
  <c r="O35" i="34" s="1"/>
  <c r="F4" i="34"/>
  <c r="S35" i="34" s="1"/>
  <c r="B4" i="34"/>
  <c r="M34" i="34" s="1"/>
  <c r="F2" i="34"/>
  <c r="Y35" i="34" s="1"/>
  <c r="U30" i="34"/>
  <c r="F1" i="34"/>
  <c r="Q30" i="34" s="1"/>
  <c r="I228" i="30"/>
  <c r="I227" i="30"/>
  <c r="I226" i="30"/>
  <c r="I225" i="30"/>
  <c r="I224" i="30"/>
  <c r="I223" i="30"/>
  <c r="I222" i="30"/>
  <c r="I221" i="30"/>
  <c r="I220" i="30"/>
  <c r="I219" i="30"/>
  <c r="I218" i="30"/>
  <c r="I213" i="30"/>
  <c r="I210" i="30"/>
  <c r="I209" i="30"/>
  <c r="I208" i="30"/>
  <c r="I207" i="30"/>
  <c r="I206" i="30"/>
  <c r="I203" i="30"/>
  <c r="I202" i="30"/>
  <c r="I201" i="30"/>
  <c r="I200" i="30"/>
  <c r="I199" i="30"/>
  <c r="I198" i="30"/>
  <c r="I197" i="30"/>
  <c r="I191" i="30"/>
  <c r="I190" i="30"/>
  <c r="I189" i="30"/>
  <c r="I188" i="30"/>
  <c r="I187" i="30"/>
  <c r="I186" i="30"/>
  <c r="I185" i="30"/>
  <c r="I184" i="30"/>
  <c r="I183" i="30"/>
  <c r="AN37" i="33"/>
  <c r="F112" i="30" s="1"/>
  <c r="I112" i="30" s="1"/>
  <c r="F108" i="30"/>
  <c r="F106" i="30"/>
  <c r="AL19" i="33"/>
  <c r="AM11" i="33"/>
  <c r="AM12" i="33"/>
  <c r="AM13" i="33"/>
  <c r="AM14" i="33"/>
  <c r="AM15" i="33"/>
  <c r="AM16" i="33"/>
  <c r="AM17" i="33"/>
  <c r="AM18" i="33"/>
  <c r="AM22" i="33"/>
  <c r="AM25" i="33"/>
  <c r="AM26" i="33"/>
  <c r="AM27" i="33"/>
  <c r="AM28" i="33"/>
  <c r="AM29" i="33"/>
  <c r="AM30" i="33"/>
  <c r="AM31" i="33"/>
  <c r="AM32" i="33"/>
  <c r="AM33" i="33"/>
  <c r="AM34" i="33"/>
  <c r="AM10" i="33"/>
  <c r="AM37" i="33" s="1"/>
  <c r="F105" i="30" s="1"/>
  <c r="F107" i="30"/>
  <c r="P96" i="30"/>
  <c r="P97" i="30"/>
  <c r="P99" i="30"/>
  <c r="P100" i="30"/>
  <c r="O98" i="30"/>
  <c r="I100" i="30"/>
  <c r="F98" i="30"/>
  <c r="H187" i="22"/>
  <c r="H188" i="22"/>
  <c r="H189" i="22"/>
  <c r="H190" i="22"/>
  <c r="H191" i="22"/>
  <c r="H192" i="22"/>
  <c r="H193" i="22"/>
  <c r="H194" i="22"/>
  <c r="H195" i="22"/>
  <c r="H196" i="22"/>
  <c r="H197" i="22"/>
  <c r="H198" i="22"/>
  <c r="H199" i="22"/>
  <c r="H200" i="22"/>
  <c r="H201" i="22"/>
  <c r="H202" i="22"/>
  <c r="H203" i="22"/>
  <c r="H204" i="22"/>
  <c r="H186" i="22"/>
  <c r="Y10" i="34" l="1"/>
  <c r="O12" i="34"/>
  <c r="O13" i="34"/>
  <c r="Y27" i="34"/>
  <c r="Y31" i="34"/>
  <c r="Y11" i="34"/>
  <c r="Y12" i="34"/>
  <c r="Y19" i="34"/>
  <c r="S20" i="34"/>
  <c r="Y21" i="34"/>
  <c r="O22" i="34"/>
  <c r="O23" i="34"/>
  <c r="Y26" i="34"/>
  <c r="M27" i="34"/>
  <c r="S32" i="34"/>
  <c r="F165" i="30"/>
  <c r="I165" i="30" s="1"/>
  <c r="F228" i="22"/>
  <c r="H228" i="22" s="1"/>
  <c r="F245" i="22"/>
  <c r="H245" i="22" s="1"/>
  <c r="O21" i="34"/>
  <c r="C37" i="34"/>
  <c r="Y17" i="34"/>
  <c r="O19" i="34"/>
  <c r="O20" i="34"/>
  <c r="O26" i="34"/>
  <c r="O30" i="34"/>
  <c r="F215" i="22"/>
  <c r="H215" i="22" s="1"/>
  <c r="F277" i="22"/>
  <c r="H277" i="22" s="1"/>
  <c r="S15" i="34"/>
  <c r="Y23" i="34"/>
  <c r="O27" i="34"/>
  <c r="Y28" i="34"/>
  <c r="Y30" i="34"/>
  <c r="O31" i="34"/>
  <c r="F210" i="22"/>
  <c r="H210" i="22" s="1"/>
  <c r="F213" i="22"/>
  <c r="H213" i="22" s="1"/>
  <c r="F242" i="22"/>
  <c r="H242" i="22" s="1"/>
  <c r="F246" i="22"/>
  <c r="H246" i="22" s="1"/>
  <c r="F272" i="22"/>
  <c r="H272" i="22" s="1"/>
  <c r="F275" i="22"/>
  <c r="H275" i="22" s="1"/>
  <c r="F236" i="30"/>
  <c r="I236" i="30" s="1"/>
  <c r="H312" i="22"/>
  <c r="F239" i="30"/>
  <c r="I239" i="30" s="1"/>
  <c r="I178" i="30"/>
  <c r="H298" i="22"/>
  <c r="I151" i="30" s="1"/>
  <c r="AQ37" i="34"/>
  <c r="F235" i="30" s="1"/>
  <c r="I153" i="30"/>
  <c r="I160" i="30"/>
  <c r="H288" i="22"/>
  <c r="F276" i="22"/>
  <c r="H276" i="22" s="1"/>
  <c r="H259" i="22"/>
  <c r="F260" i="22"/>
  <c r="H260" i="22" s="1"/>
  <c r="H286" i="22"/>
  <c r="F289" i="22"/>
  <c r="H289" i="22" s="1"/>
  <c r="H285" i="22"/>
  <c r="H273" i="22"/>
  <c r="H258" i="22"/>
  <c r="H255" i="22"/>
  <c r="F224" i="22"/>
  <c r="H224" i="22" s="1"/>
  <c r="H226" i="22"/>
  <c r="H223" i="22"/>
  <c r="H205" i="22"/>
  <c r="G217" i="30" s="1"/>
  <c r="I217" i="30" s="1"/>
  <c r="I229" i="30" s="1"/>
  <c r="I148" i="30"/>
  <c r="F103" i="30"/>
  <c r="I103" i="30" s="1"/>
  <c r="AI37" i="34"/>
  <c r="F170" i="30" s="1"/>
  <c r="I170" i="30" s="1"/>
  <c r="I149" i="30"/>
  <c r="I135" i="30"/>
  <c r="I132" i="30"/>
  <c r="AN37" i="34"/>
  <c r="AB37" i="34"/>
  <c r="M30" i="34"/>
  <c r="M26" i="34"/>
  <c r="M23" i="34"/>
  <c r="M21" i="34"/>
  <c r="M19" i="34"/>
  <c r="M13" i="34"/>
  <c r="M35" i="34"/>
  <c r="M33" i="34"/>
  <c r="M29" i="34"/>
  <c r="M25" i="34"/>
  <c r="M24" i="34"/>
  <c r="M18" i="34"/>
  <c r="M14" i="34"/>
  <c r="M10" i="34"/>
  <c r="E37" i="34"/>
  <c r="M12" i="34"/>
  <c r="M16" i="34"/>
  <c r="I37" i="34"/>
  <c r="M22" i="34"/>
  <c r="M31" i="34"/>
  <c r="Q32" i="34"/>
  <c r="Q28" i="34"/>
  <c r="Q17" i="34"/>
  <c r="Q16" i="34"/>
  <c r="Q15" i="34"/>
  <c r="Q11" i="34"/>
  <c r="Q31" i="34"/>
  <c r="Q27" i="34"/>
  <c r="Q22" i="34"/>
  <c r="Q12" i="34"/>
  <c r="S31" i="34"/>
  <c r="S27" i="34"/>
  <c r="S22" i="34"/>
  <c r="S12" i="34"/>
  <c r="S30" i="34"/>
  <c r="S26" i="34"/>
  <c r="S23" i="34"/>
  <c r="S21" i="34"/>
  <c r="S19" i="34"/>
  <c r="S13" i="34"/>
  <c r="G37" i="34"/>
  <c r="Q14" i="34"/>
  <c r="S16" i="34"/>
  <c r="S18" i="34"/>
  <c r="J37" i="34"/>
  <c r="Q24" i="34"/>
  <c r="S25" i="34"/>
  <c r="Q29" i="34"/>
  <c r="Q10" i="34"/>
  <c r="AK37" i="34"/>
  <c r="F172" i="30" s="1"/>
  <c r="F234" i="30" s="1"/>
  <c r="I234" i="30" s="1"/>
  <c r="Q13" i="34"/>
  <c r="S14" i="34"/>
  <c r="M15" i="34"/>
  <c r="M17" i="34"/>
  <c r="Q19" i="34"/>
  <c r="Q20" i="34"/>
  <c r="Q23" i="34"/>
  <c r="S24" i="34"/>
  <c r="Q26" i="34"/>
  <c r="M28" i="34"/>
  <c r="S29" i="34"/>
  <c r="Q33" i="34"/>
  <c r="Q35" i="34"/>
  <c r="O11" i="34"/>
  <c r="O15" i="34"/>
  <c r="O16" i="34"/>
  <c r="O17" i="34"/>
  <c r="U18" i="34"/>
  <c r="U20" i="34"/>
  <c r="U24" i="34"/>
  <c r="U25" i="34"/>
  <c r="O28" i="34"/>
  <c r="U29" i="34"/>
  <c r="O32" i="34"/>
  <c r="U33" i="34"/>
  <c r="U35" i="34"/>
  <c r="O10" i="34"/>
  <c r="Y13" i="34"/>
  <c r="O14" i="34"/>
  <c r="O18" i="34"/>
  <c r="Y18" i="34"/>
  <c r="U19" i="34"/>
  <c r="Y20" i="34"/>
  <c r="U21" i="34"/>
  <c r="U23" i="34"/>
  <c r="O24" i="34"/>
  <c r="Y24" i="34"/>
  <c r="O25" i="34"/>
  <c r="Y25" i="34"/>
  <c r="U26" i="34"/>
  <c r="O29" i="34"/>
  <c r="Y29" i="34"/>
  <c r="O33" i="34"/>
  <c r="Y33" i="34"/>
  <c r="I161" i="30"/>
  <c r="I162" i="30"/>
  <c r="I163" i="30"/>
  <c r="I240" i="30"/>
  <c r="P98" i="30"/>
  <c r="P90" i="30"/>
  <c r="P91" i="30"/>
  <c r="P92" i="30"/>
  <c r="P93" i="30"/>
  <c r="P89" i="30"/>
  <c r="H180" i="22"/>
  <c r="H179" i="22"/>
  <c r="H178" i="22"/>
  <c r="H170" i="22"/>
  <c r="H172" i="22"/>
  <c r="H171" i="22"/>
  <c r="H169" i="22"/>
  <c r="H160" i="22"/>
  <c r="H159" i="22"/>
  <c r="H158" i="22"/>
  <c r="H157" i="22"/>
  <c r="H163" i="22"/>
  <c r="H162" i="22"/>
  <c r="H161" i="22"/>
  <c r="H156" i="22"/>
  <c r="P78" i="30"/>
  <c r="P79" i="30"/>
  <c r="P80" i="30"/>
  <c r="P81" i="30"/>
  <c r="P82" i="30"/>
  <c r="P83" i="30"/>
  <c r="P84" i="30"/>
  <c r="P85" i="30"/>
  <c r="P86" i="30"/>
  <c r="O77" i="30"/>
  <c r="P77" i="30" s="1"/>
  <c r="I78" i="30"/>
  <c r="I77" i="30"/>
  <c r="F116" i="22"/>
  <c r="H116" i="22" s="1"/>
  <c r="F115" i="22"/>
  <c r="H115" i="22" s="1"/>
  <c r="F114" i="22"/>
  <c r="H114" i="22" s="1"/>
  <c r="F113" i="22"/>
  <c r="H113" i="22" s="1"/>
  <c r="F112" i="22"/>
  <c r="H112" i="22" s="1"/>
  <c r="F111" i="22"/>
  <c r="H111" i="22" s="1"/>
  <c r="F109" i="22"/>
  <c r="H109" i="22" s="1"/>
  <c r="F107" i="22"/>
  <c r="H107" i="22" s="1"/>
  <c r="F108" i="22"/>
  <c r="H108" i="22" s="1"/>
  <c r="F110" i="22"/>
  <c r="H110" i="22" s="1"/>
  <c r="H88" i="22"/>
  <c r="H89" i="22"/>
  <c r="H90" i="22"/>
  <c r="H91" i="22"/>
  <c r="H92" i="22"/>
  <c r="H93" i="22"/>
  <c r="H94" i="22"/>
  <c r="H95" i="22"/>
  <c r="H96" i="22"/>
  <c r="H97" i="22"/>
  <c r="H98" i="22"/>
  <c r="H99" i="22"/>
  <c r="H100" i="22"/>
  <c r="H101" i="22"/>
  <c r="H87" i="22"/>
  <c r="I86" i="30"/>
  <c r="H81" i="22"/>
  <c r="H80" i="22"/>
  <c r="H79" i="22"/>
  <c r="H150" i="22"/>
  <c r="H149" i="22"/>
  <c r="H148" i="22"/>
  <c r="H147" i="22"/>
  <c r="H146" i="22"/>
  <c r="H250" i="22" l="1"/>
  <c r="G142" i="30" s="1"/>
  <c r="I142" i="30" s="1"/>
  <c r="F138" i="30"/>
  <c r="F169" i="30" s="1"/>
  <c r="I172" i="30"/>
  <c r="G235" i="30"/>
  <c r="I235" i="30" s="1"/>
  <c r="G107" i="30"/>
  <c r="I107" i="30" s="1"/>
  <c r="I241" i="30"/>
  <c r="I156" i="30"/>
  <c r="I167" i="30"/>
  <c r="F104" i="30"/>
  <c r="I104" i="30" s="1"/>
  <c r="H267" i="22"/>
  <c r="G143" i="30" s="1"/>
  <c r="H291" i="22"/>
  <c r="G145" i="30" s="1"/>
  <c r="I145" i="30" s="1"/>
  <c r="H280" i="22"/>
  <c r="G144" i="30" s="1"/>
  <c r="H237" i="22"/>
  <c r="G141" i="30" s="1"/>
  <c r="H218" i="22"/>
  <c r="G140" i="30" s="1"/>
  <c r="I173" i="30"/>
  <c r="Y37" i="34"/>
  <c r="F134" i="30" s="1"/>
  <c r="I134" i="30" s="1"/>
  <c r="I136" i="30" s="1"/>
  <c r="S37" i="34"/>
  <c r="F123" i="30" s="1"/>
  <c r="I123" i="30" s="1"/>
  <c r="O37" i="34"/>
  <c r="Q37" i="34"/>
  <c r="F127" i="30" s="1"/>
  <c r="M37" i="34"/>
  <c r="F122" i="30" s="1"/>
  <c r="U37" i="34"/>
  <c r="F128" i="30" s="1"/>
  <c r="I128" i="30" s="1"/>
  <c r="H181" i="22"/>
  <c r="G214" i="30" s="1"/>
  <c r="I214" i="30" s="1"/>
  <c r="H173" i="22"/>
  <c r="H117" i="22"/>
  <c r="G182" i="30" s="1"/>
  <c r="I182" i="30" s="1"/>
  <c r="H164" i="22"/>
  <c r="G211" i="30" s="1"/>
  <c r="I211" i="30" s="1"/>
  <c r="H102" i="22"/>
  <c r="G181" i="30" s="1"/>
  <c r="I181" i="30" s="1"/>
  <c r="H82" i="22"/>
  <c r="G180" i="30" s="1"/>
  <c r="I180" i="30" s="1"/>
  <c r="H151" i="22"/>
  <c r="F134" i="22"/>
  <c r="H134" i="22" s="1"/>
  <c r="H140" i="22"/>
  <c r="H139" i="22"/>
  <c r="H138" i="22"/>
  <c r="H137" i="22"/>
  <c r="H136" i="22"/>
  <c r="F135" i="22"/>
  <c r="H135" i="22" s="1"/>
  <c r="H128" i="22"/>
  <c r="H127" i="22"/>
  <c r="H126" i="22"/>
  <c r="F123" i="22"/>
  <c r="H123" i="22" s="1"/>
  <c r="F122" i="22"/>
  <c r="H122" i="22" s="1"/>
  <c r="H125" i="22"/>
  <c r="H124" i="22"/>
  <c r="I169" i="30" l="1"/>
  <c r="F171" i="30"/>
  <c r="F233" i="30" s="1"/>
  <c r="I233" i="30" s="1"/>
  <c r="I138" i="30"/>
  <c r="F231" i="30"/>
  <c r="F232" i="30" s="1"/>
  <c r="I232" i="30" s="1"/>
  <c r="G93" i="30"/>
  <c r="G212" i="30"/>
  <c r="I212" i="30" s="1"/>
  <c r="I215" i="30" s="1"/>
  <c r="G195" i="30"/>
  <c r="I195" i="30" s="1"/>
  <c r="G196" i="30"/>
  <c r="I196" i="30" s="1"/>
  <c r="I141" i="30"/>
  <c r="I144" i="30"/>
  <c r="I143" i="30"/>
  <c r="I140" i="30"/>
  <c r="I127" i="30"/>
  <c r="I126" i="30"/>
  <c r="I122" i="30"/>
  <c r="I124" i="30" s="1"/>
  <c r="G81" i="30"/>
  <c r="G82" i="30"/>
  <c r="I82" i="30" s="1"/>
  <c r="H141" i="22"/>
  <c r="H129" i="22"/>
  <c r="AK37" i="33"/>
  <c r="F74" i="30" s="1"/>
  <c r="F56" i="30" s="1"/>
  <c r="I56" i="30" s="1"/>
  <c r="AJ11" i="33"/>
  <c r="AJ37" i="33" s="1"/>
  <c r="F70" i="30" s="1"/>
  <c r="AJ12" i="33"/>
  <c r="AJ13" i="33"/>
  <c r="AJ14" i="33"/>
  <c r="AJ15" i="33"/>
  <c r="AJ16" i="33"/>
  <c r="AJ17" i="33"/>
  <c r="AJ18" i="33"/>
  <c r="AJ19" i="33"/>
  <c r="AJ20" i="33"/>
  <c r="AJ21" i="33"/>
  <c r="AJ22" i="33"/>
  <c r="AJ23" i="33"/>
  <c r="AJ24" i="33"/>
  <c r="AJ25" i="33"/>
  <c r="AJ26" i="33"/>
  <c r="AJ27" i="33"/>
  <c r="AJ28" i="33"/>
  <c r="AJ29" i="33"/>
  <c r="AJ30" i="33"/>
  <c r="AJ31" i="33"/>
  <c r="AJ32" i="33"/>
  <c r="AJ33" i="33"/>
  <c r="AJ34" i="33"/>
  <c r="AJ35" i="33"/>
  <c r="AJ10" i="33"/>
  <c r="AI35" i="33"/>
  <c r="AH35" i="33"/>
  <c r="AH16" i="33"/>
  <c r="AH17" i="33"/>
  <c r="AH18" i="33"/>
  <c r="AH19" i="33"/>
  <c r="AH20" i="33"/>
  <c r="AH21" i="33"/>
  <c r="AH22" i="33"/>
  <c r="AH23" i="33"/>
  <c r="AH24" i="33"/>
  <c r="AH25" i="33"/>
  <c r="AH26" i="33"/>
  <c r="AH27" i="33"/>
  <c r="AH28" i="33"/>
  <c r="AH29" i="33"/>
  <c r="AH30" i="33"/>
  <c r="AH31" i="33"/>
  <c r="AH32" i="33"/>
  <c r="AH33" i="33"/>
  <c r="AH15" i="33"/>
  <c r="H47" i="33"/>
  <c r="H46" i="33"/>
  <c r="H45" i="33"/>
  <c r="H44" i="33"/>
  <c r="H43" i="33"/>
  <c r="H55" i="33"/>
  <c r="H54" i="33"/>
  <c r="H53" i="33"/>
  <c r="H52" i="33"/>
  <c r="H51" i="33"/>
  <c r="H50" i="33"/>
  <c r="F63" i="30" s="1"/>
  <c r="H49" i="33"/>
  <c r="F62" i="30" s="1"/>
  <c r="I62" i="30" s="1"/>
  <c r="H42" i="33"/>
  <c r="I63" i="30"/>
  <c r="AD37" i="33"/>
  <c r="F55" i="30" s="1"/>
  <c r="AE37" i="33"/>
  <c r="F57" i="30" s="1"/>
  <c r="I57" i="30" s="1"/>
  <c r="AF37" i="33"/>
  <c r="F58" i="30" s="1"/>
  <c r="I58" i="30" s="1"/>
  <c r="H73" i="22"/>
  <c r="F69" i="22"/>
  <c r="H69" i="22" s="1"/>
  <c r="H67" i="22"/>
  <c r="J70" i="22"/>
  <c r="F70" i="22" s="1"/>
  <c r="H70" i="22" s="1"/>
  <c r="J69" i="22"/>
  <c r="J68" i="22"/>
  <c r="F68" i="22" s="1"/>
  <c r="H68" i="22" s="1"/>
  <c r="J67" i="22"/>
  <c r="J66" i="22"/>
  <c r="F66" i="22" s="1"/>
  <c r="H66" i="22" s="1"/>
  <c r="J65" i="22"/>
  <c r="F65" i="22" s="1"/>
  <c r="H65" i="22" s="1"/>
  <c r="H72" i="22"/>
  <c r="H71" i="22"/>
  <c r="F56" i="22"/>
  <c r="H56" i="22" s="1"/>
  <c r="J57" i="22"/>
  <c r="F57" i="22" s="1"/>
  <c r="H57" i="22" s="1"/>
  <c r="J56" i="22"/>
  <c r="J55" i="22"/>
  <c r="F55" i="22" s="1"/>
  <c r="H55" i="22" s="1"/>
  <c r="J54" i="22"/>
  <c r="J53" i="22"/>
  <c r="F53" i="22" s="1"/>
  <c r="H53" i="22" s="1"/>
  <c r="J52" i="22"/>
  <c r="F52" i="22" s="1"/>
  <c r="H52" i="22" s="1"/>
  <c r="H59" i="22"/>
  <c r="H58" i="22"/>
  <c r="H54" i="22"/>
  <c r="F43" i="22"/>
  <c r="H43" i="22" s="1"/>
  <c r="J44" i="22"/>
  <c r="F44" i="22" s="1"/>
  <c r="H44" i="22" s="1"/>
  <c r="J43" i="22"/>
  <c r="J40" i="22"/>
  <c r="F40" i="22" s="1"/>
  <c r="J42" i="22"/>
  <c r="F42" i="22" s="1"/>
  <c r="H42" i="22" s="1"/>
  <c r="J41" i="22"/>
  <c r="F41" i="22" s="1"/>
  <c r="H41" i="22" s="1"/>
  <c r="J39" i="22"/>
  <c r="F39" i="22" s="1"/>
  <c r="H45" i="22"/>
  <c r="H46" i="22"/>
  <c r="I171" i="30" l="1"/>
  <c r="I174" i="30" s="1"/>
  <c r="I231" i="30"/>
  <c r="I237" i="30" s="1"/>
  <c r="G80" i="30"/>
  <c r="G192" i="30"/>
  <c r="I192" i="30" s="1"/>
  <c r="G194" i="30"/>
  <c r="I194" i="30" s="1"/>
  <c r="G193" i="30"/>
  <c r="I193" i="30" s="1"/>
  <c r="I129" i="30"/>
  <c r="I146" i="30"/>
  <c r="AH37" i="33"/>
  <c r="F68" i="30" s="1"/>
  <c r="H60" i="22"/>
  <c r="G50" i="30" s="1"/>
  <c r="I50" i="30" s="1"/>
  <c r="F54" i="30"/>
  <c r="H74" i="22"/>
  <c r="G51" i="30" s="1"/>
  <c r="I51" i="30" s="1"/>
  <c r="H40" i="22"/>
  <c r="U20" i="33"/>
  <c r="S22" i="33"/>
  <c r="F4" i="33"/>
  <c r="S11" i="33" s="1"/>
  <c r="P20" i="33"/>
  <c r="N20" i="33"/>
  <c r="L20" i="33"/>
  <c r="AC37" i="33"/>
  <c r="AA24" i="33"/>
  <c r="AA20" i="33"/>
  <c r="AB11" i="33"/>
  <c r="AB12" i="33"/>
  <c r="AB13" i="33"/>
  <c r="AB14" i="33"/>
  <c r="AB15" i="33"/>
  <c r="AB16" i="33"/>
  <c r="AB17" i="33"/>
  <c r="AB18" i="33"/>
  <c r="AB19" i="33"/>
  <c r="AB21" i="33"/>
  <c r="AB22" i="33"/>
  <c r="AB26" i="33"/>
  <c r="AB27" i="33"/>
  <c r="AB28" i="33"/>
  <c r="AB29" i="33"/>
  <c r="AB30" i="33"/>
  <c r="AB31" i="33"/>
  <c r="AB32" i="33"/>
  <c r="AB33" i="33"/>
  <c r="AB35" i="33"/>
  <c r="AB10" i="33"/>
  <c r="Z37" i="33"/>
  <c r="F45" i="30" s="1"/>
  <c r="Y22" i="33"/>
  <c r="F2" i="33"/>
  <c r="Y12" i="33" s="1"/>
  <c r="F42" i="30"/>
  <c r="W37" i="33"/>
  <c r="F43" i="30" s="1"/>
  <c r="I43" i="30" s="1"/>
  <c r="V37" i="33"/>
  <c r="Q13" i="33"/>
  <c r="Q22" i="33"/>
  <c r="Q30" i="33"/>
  <c r="F1" i="33"/>
  <c r="Q14" i="33" s="1"/>
  <c r="B5" i="33"/>
  <c r="O35" i="33" s="1"/>
  <c r="B4" i="33"/>
  <c r="M12" i="33" s="1"/>
  <c r="K37" i="33"/>
  <c r="J24" i="33"/>
  <c r="J23" i="33"/>
  <c r="J21" i="33"/>
  <c r="J20" i="33"/>
  <c r="I24" i="33"/>
  <c r="I23" i="33"/>
  <c r="I21" i="33"/>
  <c r="I20" i="33"/>
  <c r="J25" i="33"/>
  <c r="F30" i="30"/>
  <c r="F29" i="30"/>
  <c r="S18" i="33" l="1"/>
  <c r="S33" i="33"/>
  <c r="Y27" i="33"/>
  <c r="S30" i="33"/>
  <c r="I204" i="30"/>
  <c r="I243" i="30" s="1"/>
  <c r="O18" i="33"/>
  <c r="Y17" i="33"/>
  <c r="S26" i="33"/>
  <c r="S17" i="33"/>
  <c r="Y33" i="33"/>
  <c r="Y11" i="33"/>
  <c r="S35" i="33"/>
  <c r="S25" i="33"/>
  <c r="S14" i="33"/>
  <c r="Q29" i="33"/>
  <c r="Q21" i="33"/>
  <c r="Q12" i="33"/>
  <c r="Y31" i="33"/>
  <c r="Y26" i="33"/>
  <c r="Y21" i="33"/>
  <c r="Y15" i="33"/>
  <c r="Q35" i="33"/>
  <c r="Q26" i="33"/>
  <c r="Q17" i="33"/>
  <c r="Y10" i="33"/>
  <c r="Y30" i="33"/>
  <c r="Y25" i="33"/>
  <c r="Y19" i="33"/>
  <c r="Y14" i="33"/>
  <c r="Q20" i="33"/>
  <c r="O26" i="33"/>
  <c r="Q33" i="33"/>
  <c r="Q25" i="33"/>
  <c r="Q16" i="33"/>
  <c r="Y35" i="33"/>
  <c r="Y29" i="33"/>
  <c r="Y23" i="33"/>
  <c r="Y18" i="33"/>
  <c r="Y13" i="33"/>
  <c r="S29" i="33"/>
  <c r="S21" i="33"/>
  <c r="S13" i="33"/>
  <c r="U18" i="33"/>
  <c r="U31" i="33"/>
  <c r="U27" i="33"/>
  <c r="U23" i="33"/>
  <c r="U19" i="33"/>
  <c r="Q32" i="33"/>
  <c r="Q28" i="33"/>
  <c r="Q24" i="33"/>
  <c r="Q19" i="33"/>
  <c r="Q15" i="33"/>
  <c r="Q11" i="33"/>
  <c r="S32" i="33"/>
  <c r="S28" i="33"/>
  <c r="S24" i="33"/>
  <c r="S20" i="33"/>
  <c r="S16" i="33"/>
  <c r="S12" i="33"/>
  <c r="U35" i="33"/>
  <c r="U30" i="33"/>
  <c r="U26" i="33"/>
  <c r="U22" i="33"/>
  <c r="Q10" i="33"/>
  <c r="Q31" i="33"/>
  <c r="Q27" i="33"/>
  <c r="Q23" i="33"/>
  <c r="Q18" i="33"/>
  <c r="Y32" i="33"/>
  <c r="Y28" i="33"/>
  <c r="Y24" i="33"/>
  <c r="Y20" i="33"/>
  <c r="Y16" i="33"/>
  <c r="S10" i="33"/>
  <c r="S31" i="33"/>
  <c r="S27" i="33"/>
  <c r="S23" i="33"/>
  <c r="S19" i="33"/>
  <c r="S15" i="33"/>
  <c r="U33" i="33"/>
  <c r="U29" i="33"/>
  <c r="U25" i="33"/>
  <c r="U21" i="33"/>
  <c r="U32" i="33"/>
  <c r="U28" i="33"/>
  <c r="U24" i="33"/>
  <c r="AB37" i="33"/>
  <c r="J37" i="33"/>
  <c r="F28" i="30" s="1"/>
  <c r="O33" i="33"/>
  <c r="O25" i="33"/>
  <c r="O17" i="33"/>
  <c r="O30" i="33"/>
  <c r="O22" i="33"/>
  <c r="O14" i="33"/>
  <c r="O29" i="33"/>
  <c r="O21" i="33"/>
  <c r="O13" i="33"/>
  <c r="M32" i="33"/>
  <c r="M28" i="33"/>
  <c r="M20" i="33"/>
  <c r="M10" i="33"/>
  <c r="M31" i="33"/>
  <c r="M27" i="33"/>
  <c r="M23" i="33"/>
  <c r="M19" i="33"/>
  <c r="M15" i="33"/>
  <c r="M11" i="33"/>
  <c r="M35" i="33"/>
  <c r="M30" i="33"/>
  <c r="M26" i="33"/>
  <c r="M22" i="33"/>
  <c r="M18" i="33"/>
  <c r="M14" i="33"/>
  <c r="O32" i="33"/>
  <c r="O28" i="33"/>
  <c r="O24" i="33"/>
  <c r="O20" i="33"/>
  <c r="O16" i="33"/>
  <c r="O12" i="33"/>
  <c r="M33" i="33"/>
  <c r="M29" i="33"/>
  <c r="M25" i="33"/>
  <c r="M21" i="33"/>
  <c r="M17" i="33"/>
  <c r="M13" i="33"/>
  <c r="O10" i="33"/>
  <c r="O31" i="33"/>
  <c r="O27" i="33"/>
  <c r="O23" i="33"/>
  <c r="O19" i="33"/>
  <c r="O15" i="33"/>
  <c r="O11" i="33"/>
  <c r="M24" i="33"/>
  <c r="M16" i="33"/>
  <c r="I29" i="30"/>
  <c r="I30" i="30"/>
  <c r="I37" i="33"/>
  <c r="F27" i="30" s="1"/>
  <c r="H37" i="33"/>
  <c r="F26" i="30" s="1"/>
  <c r="G11" i="33"/>
  <c r="G12" i="33"/>
  <c r="G13" i="33"/>
  <c r="G14" i="33"/>
  <c r="G15" i="33"/>
  <c r="G16" i="33"/>
  <c r="G17" i="33"/>
  <c r="G18" i="33"/>
  <c r="G19" i="33"/>
  <c r="G20" i="33"/>
  <c r="G21" i="33"/>
  <c r="G22" i="33"/>
  <c r="G23" i="33"/>
  <c r="G24" i="33"/>
  <c r="G25" i="33"/>
  <c r="G26" i="33"/>
  <c r="G27" i="33"/>
  <c r="G28" i="33"/>
  <c r="G29" i="33"/>
  <c r="G30" i="33"/>
  <c r="G31" i="33"/>
  <c r="G32" i="33"/>
  <c r="G33" i="33"/>
  <c r="G10" i="33"/>
  <c r="E11" i="33"/>
  <c r="E12" i="33"/>
  <c r="E13" i="33"/>
  <c r="E14" i="33"/>
  <c r="E15" i="33"/>
  <c r="E16" i="33"/>
  <c r="E17" i="33"/>
  <c r="E18" i="33"/>
  <c r="E19" i="33"/>
  <c r="E20" i="33"/>
  <c r="E21" i="33"/>
  <c r="E22" i="33"/>
  <c r="E23" i="33"/>
  <c r="E24" i="33"/>
  <c r="E25" i="33"/>
  <c r="E26" i="33"/>
  <c r="E27" i="33"/>
  <c r="E28" i="33"/>
  <c r="E29" i="33"/>
  <c r="E30" i="33"/>
  <c r="E31" i="33"/>
  <c r="E32" i="33"/>
  <c r="E33" i="33"/>
  <c r="E10" i="33"/>
  <c r="C11" i="33"/>
  <c r="C12" i="33"/>
  <c r="C13" i="33"/>
  <c r="C14" i="33"/>
  <c r="C15" i="33"/>
  <c r="C16" i="33"/>
  <c r="C17" i="33"/>
  <c r="C19" i="33"/>
  <c r="C20" i="33"/>
  <c r="C22" i="33"/>
  <c r="C23" i="33"/>
  <c r="C24" i="33"/>
  <c r="C26" i="33"/>
  <c r="C27" i="33"/>
  <c r="C28" i="33"/>
  <c r="C29" i="33"/>
  <c r="C30" i="33"/>
  <c r="C31" i="33"/>
  <c r="C32" i="33"/>
  <c r="C33" i="33"/>
  <c r="C10" i="33"/>
  <c r="B25" i="33"/>
  <c r="C25" i="33" s="1"/>
  <c r="B18" i="33"/>
  <c r="C18" i="33" s="1"/>
  <c r="B21" i="33"/>
  <c r="C21" i="33" s="1"/>
  <c r="F48" i="30" l="1"/>
  <c r="F67" i="30" s="1"/>
  <c r="F69" i="30" s="1"/>
  <c r="I27" i="30"/>
  <c r="S37" i="33"/>
  <c r="F34" i="30" s="1"/>
  <c r="I34" i="30" s="1"/>
  <c r="Y37" i="33"/>
  <c r="F44" i="30" s="1"/>
  <c r="U37" i="33"/>
  <c r="F39" i="30" s="1"/>
  <c r="M37" i="33"/>
  <c r="F33" i="30" s="1"/>
  <c r="O37" i="33"/>
  <c r="F37" i="30" s="1"/>
  <c r="E37" i="33"/>
  <c r="F22" i="30" s="1"/>
  <c r="G37" i="33"/>
  <c r="F23" i="30" s="1"/>
  <c r="Q37" i="33"/>
  <c r="F38" i="30" s="1"/>
  <c r="C37" i="33"/>
  <c r="F21" i="30" s="1"/>
  <c r="F24" i="30" l="1"/>
  <c r="F25" i="30" s="1"/>
  <c r="B14" i="32" l="1"/>
  <c r="C40" i="32"/>
  <c r="E86" i="32"/>
  <c r="C44" i="32"/>
  <c r="K44" i="32" s="1"/>
  <c r="C42" i="32"/>
  <c r="K42" i="32" s="1"/>
  <c r="C38" i="32"/>
  <c r="K38" i="32" s="1"/>
  <c r="C36" i="32"/>
  <c r="K36" i="32" s="1"/>
  <c r="C34" i="32"/>
  <c r="K34" i="32" s="1"/>
  <c r="C32" i="32"/>
  <c r="K32" i="32" s="1"/>
  <c r="C30" i="32"/>
  <c r="K30" i="32" s="1"/>
  <c r="C28" i="32"/>
  <c r="K28" i="32" s="1"/>
  <c r="C26" i="32"/>
  <c r="K26" i="32" s="1"/>
  <c r="C24" i="32"/>
  <c r="K24" i="32" s="1"/>
  <c r="C22" i="32"/>
  <c r="K22" i="32" s="1"/>
  <c r="C20" i="32"/>
  <c r="K20" i="32" s="1"/>
  <c r="C18" i="32"/>
  <c r="K18" i="32" s="1"/>
  <c r="C15" i="32"/>
  <c r="K15" i="32" s="1"/>
  <c r="H5" i="32"/>
  <c r="I54" i="30" l="1"/>
  <c r="I45" i="30"/>
  <c r="I55" i="30" l="1"/>
  <c r="I59" i="30" s="1"/>
  <c r="I254" i="30" l="1"/>
  <c r="I111" i="30" l="1"/>
  <c r="I113" i="30" s="1"/>
  <c r="I98" i="30" l="1"/>
  <c r="I97" i="30"/>
  <c r="I74" i="30" l="1"/>
  <c r="I75" i="30" l="1"/>
  <c r="I44" i="30"/>
  <c r="I39" i="30" l="1"/>
  <c r="I37" i="30" l="1"/>
  <c r="I38" i="30"/>
  <c r="I42" i="30"/>
  <c r="I46" i="30" s="1"/>
  <c r="I40" i="30" l="1"/>
  <c r="I33" i="30"/>
  <c r="I35" i="30" s="1"/>
  <c r="I93" i="30"/>
  <c r="I99" i="30"/>
  <c r="I96" i="30"/>
  <c r="I85" i="30"/>
  <c r="I84" i="30"/>
  <c r="I83" i="30"/>
  <c r="I101" i="30" l="1"/>
  <c r="I147" i="28" l="1"/>
  <c r="F126" i="28"/>
  <c r="I126" i="28" s="1"/>
  <c r="F125" i="28"/>
  <c r="I125" i="28" s="1"/>
  <c r="F124" i="28"/>
  <c r="I124" i="28" s="1"/>
  <c r="F123" i="28"/>
  <c r="I123" i="28" s="1"/>
  <c r="F122" i="28"/>
  <c r="I122" i="28" s="1"/>
  <c r="F121" i="28"/>
  <c r="I121" i="28" s="1"/>
  <c r="F120" i="28"/>
  <c r="I120" i="28" s="1"/>
  <c r="F119" i="28"/>
  <c r="I119" i="28" s="1"/>
  <c r="F118" i="28"/>
  <c r="I118" i="28" s="1"/>
  <c r="F117" i="28"/>
  <c r="I117" i="28" s="1"/>
  <c r="F113" i="28"/>
  <c r="I113" i="28" s="1"/>
  <c r="F112" i="28"/>
  <c r="I112" i="28" s="1"/>
  <c r="F111" i="28"/>
  <c r="I111" i="28" s="1"/>
  <c r="I110" i="28"/>
  <c r="I109" i="28"/>
  <c r="I105" i="28"/>
  <c r="I104" i="28"/>
  <c r="I103" i="28"/>
  <c r="I102" i="28"/>
  <c r="I99" i="28"/>
  <c r="I98" i="28"/>
  <c r="F93" i="28"/>
  <c r="I93" i="28" s="1"/>
  <c r="F91" i="28"/>
  <c r="I91" i="28" s="1"/>
  <c r="F90" i="28"/>
  <c r="I90" i="28" s="1"/>
  <c r="F89" i="28"/>
  <c r="I89" i="28" s="1"/>
  <c r="F88" i="28"/>
  <c r="I88" i="28" s="1"/>
  <c r="I87" i="28"/>
  <c r="L79" i="28"/>
  <c r="F44" i="28"/>
  <c r="I44" i="28" s="1"/>
  <c r="F40" i="28"/>
  <c r="I40" i="28" s="1"/>
  <c r="F39" i="28"/>
  <c r="I39" i="28" s="1"/>
  <c r="F38" i="28"/>
  <c r="I38" i="28" s="1"/>
  <c r="F37" i="28"/>
  <c r="I37" i="28" s="1"/>
  <c r="I41" i="28" s="1"/>
  <c r="F34" i="28"/>
  <c r="I34" i="28" s="1"/>
  <c r="F33" i="28"/>
  <c r="I33" i="28" s="1"/>
  <c r="F32" i="28"/>
  <c r="I32" i="28" s="1"/>
  <c r="I35" i="28" s="1"/>
  <c r="F29" i="28"/>
  <c r="I29" i="28" s="1"/>
  <c r="F28" i="28"/>
  <c r="I28" i="28" s="1"/>
  <c r="I30" i="28" s="1"/>
  <c r="H16" i="28"/>
  <c r="I127" i="28" l="1"/>
  <c r="I89" i="30" l="1"/>
  <c r="F107" i="28"/>
  <c r="I107" i="28" s="1"/>
  <c r="F108" i="28"/>
  <c r="I108" i="28" s="1"/>
  <c r="F114" i="28"/>
  <c r="I114" i="28" s="1"/>
  <c r="F106" i="28"/>
  <c r="I106" i="28" s="1"/>
  <c r="F14" i="28"/>
  <c r="F15" i="28"/>
  <c r="F47" i="28"/>
  <c r="I47" i="28" s="1"/>
  <c r="I92" i="30" l="1"/>
  <c r="I115" i="28"/>
  <c r="I91" i="30"/>
  <c r="I90" i="30"/>
  <c r="F48" i="28"/>
  <c r="I94" i="30" l="1"/>
  <c r="F132" i="28"/>
  <c r="F131" i="28"/>
  <c r="I48" i="28"/>
  <c r="F135" i="28"/>
  <c r="I108" i="30" l="1"/>
  <c r="I131" i="28"/>
  <c r="I132" i="28"/>
  <c r="F79" i="28"/>
  <c r="I135" i="28"/>
  <c r="I136" i="28" s="1"/>
  <c r="F75" i="28" l="1"/>
  <c r="I79" i="28"/>
  <c r="I70" i="30" l="1"/>
  <c r="I75" i="28"/>
  <c r="F76" i="28"/>
  <c r="I76" i="28" l="1"/>
  <c r="I71" i="30"/>
  <c r="F63" i="28" l="1"/>
  <c r="F67" i="28"/>
  <c r="F55" i="28"/>
  <c r="F62" i="28"/>
  <c r="F66" i="28"/>
  <c r="F60" i="28"/>
  <c r="F58" i="28"/>
  <c r="F65" i="28"/>
  <c r="F59" i="28"/>
  <c r="F54" i="28"/>
  <c r="F57" i="28"/>
  <c r="F64" i="28"/>
  <c r="F68" i="28"/>
  <c r="F73" i="28"/>
  <c r="F53" i="28"/>
  <c r="F56" i="28"/>
  <c r="F61" i="28"/>
  <c r="I53" i="28" l="1"/>
  <c r="I57" i="28"/>
  <c r="I58" i="28"/>
  <c r="I55" i="28"/>
  <c r="I73" i="28"/>
  <c r="I54" i="28"/>
  <c r="I60" i="28"/>
  <c r="I67" i="28"/>
  <c r="I61" i="28"/>
  <c r="I68" i="28"/>
  <c r="I59" i="28"/>
  <c r="I66" i="28"/>
  <c r="I63" i="28"/>
  <c r="I56" i="28"/>
  <c r="I68" i="30"/>
  <c r="I64" i="28"/>
  <c r="I61" i="30"/>
  <c r="I65" i="28"/>
  <c r="I62" i="28"/>
  <c r="F43" i="28" l="1"/>
  <c r="I48" i="30" l="1"/>
  <c r="I43" i="28"/>
  <c r="I45" i="28" s="1"/>
  <c r="F21" i="28" l="1"/>
  <c r="F25" i="28"/>
  <c r="F20" i="28"/>
  <c r="F24" i="28"/>
  <c r="I24" i="28" l="1"/>
  <c r="F130" i="28"/>
  <c r="I28" i="30"/>
  <c r="I26" i="30"/>
  <c r="I25" i="28"/>
  <c r="I23" i="30"/>
  <c r="I21" i="28"/>
  <c r="I81" i="30" l="1"/>
  <c r="F92" i="28"/>
  <c r="F85" i="28"/>
  <c r="F96" i="28"/>
  <c r="I106" i="30"/>
  <c r="F95" i="28"/>
  <c r="F94" i="28"/>
  <c r="I130" i="28"/>
  <c r="F97" i="28"/>
  <c r="I97" i="28" l="1"/>
  <c r="F86" i="28"/>
  <c r="I95" i="28"/>
  <c r="I80" i="30"/>
  <c r="I94" i="28"/>
  <c r="I96" i="28"/>
  <c r="I85" i="28"/>
  <c r="F84" i="28"/>
  <c r="I92" i="28"/>
  <c r="I79" i="30" l="1"/>
  <c r="I87" i="30" s="1"/>
  <c r="I86" i="28"/>
  <c r="I84" i="28"/>
  <c r="I100" i="28" l="1"/>
  <c r="F69" i="28"/>
  <c r="F52" i="28"/>
  <c r="F49" i="28"/>
  <c r="I64" i="30" l="1"/>
  <c r="I65" i="30" s="1"/>
  <c r="I52" i="28"/>
  <c r="I70" i="28" s="1"/>
  <c r="I69" i="28"/>
  <c r="I49" i="28"/>
  <c r="I50" i="28" s="1"/>
  <c r="F19" i="28" l="1"/>
  <c r="F16" i="28"/>
  <c r="I21" i="30" l="1"/>
  <c r="F23" i="28"/>
  <c r="I19" i="28"/>
  <c r="I16" i="28"/>
  <c r="J16" i="28"/>
  <c r="F80" i="28"/>
  <c r="H27" i="22"/>
  <c r="H28" i="22" s="1"/>
  <c r="H14" i="22"/>
  <c r="H15" i="22"/>
  <c r="C28" i="26"/>
  <c r="E16" i="26"/>
  <c r="C29" i="26" s="1"/>
  <c r="H16" i="22" l="1"/>
  <c r="E31" i="26"/>
  <c r="I5" i="30" s="1"/>
  <c r="G15" i="30"/>
  <c r="G15" i="28"/>
  <c r="G5" i="22"/>
  <c r="I5" i="28"/>
  <c r="I67" i="30"/>
  <c r="F72" i="28"/>
  <c r="I72" i="28" s="1"/>
  <c r="I25" i="30"/>
  <c r="F74" i="28"/>
  <c r="F22" i="28"/>
  <c r="I23" i="28"/>
  <c r="I80" i="28"/>
  <c r="F81" i="28"/>
  <c r="H121" i="30" l="1"/>
  <c r="J121" i="30" s="1"/>
  <c r="H56" i="30"/>
  <c r="J56" i="30" s="1"/>
  <c r="H160" i="30"/>
  <c r="J160" i="30" s="1"/>
  <c r="H27" i="30"/>
  <c r="J27" i="30" s="1"/>
  <c r="H152" i="30"/>
  <c r="J152" i="30" s="1"/>
  <c r="H150" i="30"/>
  <c r="J150" i="30" s="1"/>
  <c r="H153" i="30"/>
  <c r="J153" i="30" s="1"/>
  <c r="H151" i="30"/>
  <c r="J151" i="30" s="1"/>
  <c r="H177" i="30"/>
  <c r="J177" i="30" s="1"/>
  <c r="H145" i="30"/>
  <c r="J145" i="30" s="1"/>
  <c r="H142" i="30"/>
  <c r="J142" i="30" s="1"/>
  <c r="H141" i="30"/>
  <c r="J141" i="30" s="1"/>
  <c r="H140" i="30"/>
  <c r="J140" i="30" s="1"/>
  <c r="H144" i="30"/>
  <c r="J144" i="30" s="1"/>
  <c r="H143" i="30"/>
  <c r="J143" i="30" s="1"/>
  <c r="H139" i="30"/>
  <c r="J139" i="30" s="1"/>
  <c r="H236" i="30"/>
  <c r="J236" i="30" s="1"/>
  <c r="H234" i="30"/>
  <c r="J234" i="30" s="1"/>
  <c r="H233" i="30"/>
  <c r="J233" i="30" s="1"/>
  <c r="H228" i="30"/>
  <c r="J228" i="30" s="1"/>
  <c r="H224" i="30"/>
  <c r="J224" i="30" s="1"/>
  <c r="H221" i="30"/>
  <c r="J221" i="30" s="1"/>
  <c r="H219" i="30"/>
  <c r="J219" i="30" s="1"/>
  <c r="H209" i="30"/>
  <c r="J209" i="30" s="1"/>
  <c r="H207" i="30"/>
  <c r="J207" i="30" s="1"/>
  <c r="H206" i="30"/>
  <c r="J206" i="30" s="1"/>
  <c r="H202" i="30"/>
  <c r="J202" i="30" s="1"/>
  <c r="H199" i="30"/>
  <c r="J199" i="30" s="1"/>
  <c r="H191" i="30"/>
  <c r="J191" i="30" s="1"/>
  <c r="H189" i="30"/>
  <c r="J189" i="30" s="1"/>
  <c r="H186" i="30"/>
  <c r="J186" i="30" s="1"/>
  <c r="H183" i="30"/>
  <c r="J183" i="30" s="1"/>
  <c r="H162" i="30"/>
  <c r="J162" i="30" s="1"/>
  <c r="H158" i="30"/>
  <c r="J158" i="30" s="1"/>
  <c r="H148" i="30"/>
  <c r="J148" i="30" s="1"/>
  <c r="H126" i="30"/>
  <c r="J126" i="30" s="1"/>
  <c r="H122" i="30"/>
  <c r="J122" i="30" s="1"/>
  <c r="H165" i="30"/>
  <c r="J165" i="30" s="1"/>
  <c r="H235" i="30"/>
  <c r="J235" i="30" s="1"/>
  <c r="H227" i="30"/>
  <c r="J227" i="30" s="1"/>
  <c r="H218" i="30"/>
  <c r="J218" i="30" s="1"/>
  <c r="H201" i="30"/>
  <c r="J201" i="30" s="1"/>
  <c r="H188" i="30"/>
  <c r="J188" i="30" s="1"/>
  <c r="H173" i="30"/>
  <c r="J173" i="30" s="1"/>
  <c r="H171" i="30"/>
  <c r="J171" i="30" s="1"/>
  <c r="H169" i="30"/>
  <c r="J169" i="30" s="1"/>
  <c r="H164" i="30"/>
  <c r="J164" i="30" s="1"/>
  <c r="H159" i="30"/>
  <c r="J159" i="30" s="1"/>
  <c r="H155" i="30"/>
  <c r="J155" i="30" s="1"/>
  <c r="H132" i="30"/>
  <c r="J132" i="30" s="1"/>
  <c r="H127" i="30"/>
  <c r="J127" i="30" s="1"/>
  <c r="H239" i="30"/>
  <c r="J239" i="30" s="1"/>
  <c r="H231" i="30"/>
  <c r="J231" i="30" s="1"/>
  <c r="H222" i="30"/>
  <c r="J222" i="30" s="1"/>
  <c r="H197" i="30"/>
  <c r="J197" i="30" s="1"/>
  <c r="H184" i="30"/>
  <c r="J184" i="30" s="1"/>
  <c r="H172" i="30"/>
  <c r="J172" i="30" s="1"/>
  <c r="H170" i="30"/>
  <c r="J170" i="30" s="1"/>
  <c r="H149" i="30"/>
  <c r="J149" i="30" s="1"/>
  <c r="H232" i="30"/>
  <c r="J232" i="30" s="1"/>
  <c r="H225" i="30"/>
  <c r="J225" i="30" s="1"/>
  <c r="H220" i="30"/>
  <c r="J220" i="30" s="1"/>
  <c r="H217" i="30"/>
  <c r="J217" i="30" s="1"/>
  <c r="H213" i="30"/>
  <c r="J213" i="30" s="1"/>
  <c r="H208" i="30"/>
  <c r="J208" i="30" s="1"/>
  <c r="H203" i="30"/>
  <c r="J203" i="30" s="1"/>
  <c r="H200" i="30"/>
  <c r="J200" i="30" s="1"/>
  <c r="H176" i="30"/>
  <c r="J176" i="30" s="1"/>
  <c r="H135" i="30"/>
  <c r="J135" i="30" s="1"/>
  <c r="H131" i="30"/>
  <c r="J131" i="30" s="1"/>
  <c r="H226" i="30"/>
  <c r="J226" i="30" s="1"/>
  <c r="H185" i="30"/>
  <c r="J185" i="30" s="1"/>
  <c r="H128" i="30"/>
  <c r="J128" i="30" s="1"/>
  <c r="H190" i="30"/>
  <c r="J190" i="30" s="1"/>
  <c r="H182" i="30"/>
  <c r="J182" i="30" s="1"/>
  <c r="H138" i="30"/>
  <c r="J138" i="30" s="1"/>
  <c r="H223" i="30"/>
  <c r="J223" i="30" s="1"/>
  <c r="H198" i="30"/>
  <c r="J198" i="30" s="1"/>
  <c r="H163" i="30"/>
  <c r="J163" i="30" s="1"/>
  <c r="H154" i="30"/>
  <c r="J154" i="30" s="1"/>
  <c r="H134" i="30"/>
  <c r="J134" i="30" s="1"/>
  <c r="H123" i="30"/>
  <c r="J123" i="30" s="1"/>
  <c r="H240" i="30"/>
  <c r="J240" i="30" s="1"/>
  <c r="H210" i="30"/>
  <c r="J210" i="30" s="1"/>
  <c r="H133" i="30"/>
  <c r="J133" i="30" s="1"/>
  <c r="H187" i="30"/>
  <c r="J187" i="30" s="1"/>
  <c r="H166" i="30"/>
  <c r="J166" i="30" s="1"/>
  <c r="H161" i="30"/>
  <c r="J161" i="30" s="1"/>
  <c r="H196" i="30"/>
  <c r="J196" i="30" s="1"/>
  <c r="H181" i="30"/>
  <c r="J181" i="30" s="1"/>
  <c r="H212" i="30"/>
  <c r="J212" i="30" s="1"/>
  <c r="H192" i="30"/>
  <c r="J192" i="30" s="1"/>
  <c r="H180" i="30"/>
  <c r="J180" i="30" s="1"/>
  <c r="H194" i="30"/>
  <c r="J194" i="30" s="1"/>
  <c r="H211" i="30"/>
  <c r="J211" i="30" s="1"/>
  <c r="H193" i="30"/>
  <c r="J193" i="30" s="1"/>
  <c r="H214" i="30"/>
  <c r="J214" i="30" s="1"/>
  <c r="H195" i="30"/>
  <c r="J195" i="30" s="1"/>
  <c r="H107" i="30"/>
  <c r="J107" i="30" s="1"/>
  <c r="H112" i="30"/>
  <c r="J112" i="30" s="1"/>
  <c r="H100" i="30"/>
  <c r="J100" i="30" s="1"/>
  <c r="H103" i="30"/>
  <c r="J103" i="30" s="1"/>
  <c r="H104" i="30"/>
  <c r="J104" i="30" s="1"/>
  <c r="H78" i="30"/>
  <c r="J78" i="30" s="1"/>
  <c r="H86" i="30"/>
  <c r="J86" i="30" s="1"/>
  <c r="H82" i="30"/>
  <c r="J82" i="30" s="1"/>
  <c r="H77" i="30"/>
  <c r="J77" i="30" s="1"/>
  <c r="H63" i="30"/>
  <c r="J63" i="30" s="1"/>
  <c r="H62" i="30"/>
  <c r="J62" i="30" s="1"/>
  <c r="H57" i="30"/>
  <c r="J57" i="30" s="1"/>
  <c r="H58" i="30"/>
  <c r="J58" i="30" s="1"/>
  <c r="H51" i="30"/>
  <c r="J51" i="30" s="1"/>
  <c r="H50" i="30"/>
  <c r="J50" i="30" s="1"/>
  <c r="H43" i="30"/>
  <c r="J43" i="30" s="1"/>
  <c r="H34" i="30"/>
  <c r="J34" i="30" s="1"/>
  <c r="H30" i="30"/>
  <c r="J30" i="30" s="1"/>
  <c r="H29" i="30"/>
  <c r="J29" i="30" s="1"/>
  <c r="H16" i="30"/>
  <c r="H15" i="30"/>
  <c r="J15" i="30" s="1"/>
  <c r="H54" i="30"/>
  <c r="J54" i="30" s="1"/>
  <c r="H98" i="30"/>
  <c r="J98" i="30" s="1"/>
  <c r="H111" i="30"/>
  <c r="J111" i="30" s="1"/>
  <c r="H55" i="30"/>
  <c r="J55" i="30" s="1"/>
  <c r="H97" i="30"/>
  <c r="J97" i="30" s="1"/>
  <c r="H45" i="30"/>
  <c r="J45" i="30" s="1"/>
  <c r="I15" i="30"/>
  <c r="H15" i="28"/>
  <c r="J15" i="28" s="1"/>
  <c r="I15" i="28"/>
  <c r="H74" i="30"/>
  <c r="J74" i="30" s="1"/>
  <c r="H44" i="30"/>
  <c r="J44" i="30" s="1"/>
  <c r="H38" i="30"/>
  <c r="J38" i="30" s="1"/>
  <c r="H23" i="30"/>
  <c r="J23" i="30" s="1"/>
  <c r="H28" i="30"/>
  <c r="J28" i="30" s="1"/>
  <c r="H64" i="30"/>
  <c r="J64" i="30" s="1"/>
  <c r="H106" i="30"/>
  <c r="J106" i="30" s="1"/>
  <c r="H68" i="30"/>
  <c r="J68" i="30" s="1"/>
  <c r="H80" i="30"/>
  <c r="J80" i="30" s="1"/>
  <c r="H79" i="30"/>
  <c r="J79" i="30" s="1"/>
  <c r="H85" i="30"/>
  <c r="J85" i="30" s="1"/>
  <c r="H90" i="30"/>
  <c r="J90" i="30" s="1"/>
  <c r="H37" i="30"/>
  <c r="J37" i="30" s="1"/>
  <c r="H26" i="30"/>
  <c r="J26" i="30" s="1"/>
  <c r="H89" i="30"/>
  <c r="J89" i="30" s="1"/>
  <c r="H61" i="30"/>
  <c r="J61" i="30" s="1"/>
  <c r="H105" i="30"/>
  <c r="J105" i="30" s="1"/>
  <c r="H21" i="30"/>
  <c r="J21" i="30" s="1"/>
  <c r="H71" i="30"/>
  <c r="J71" i="30" s="1"/>
  <c r="H67" i="30"/>
  <c r="J67" i="30" s="1"/>
  <c r="H84" i="30"/>
  <c r="J84" i="30" s="1"/>
  <c r="H96" i="30"/>
  <c r="J96" i="30" s="1"/>
  <c r="H39" i="30"/>
  <c r="J39" i="30" s="1"/>
  <c r="H25" i="30"/>
  <c r="J25" i="30" s="1"/>
  <c r="H70" i="30"/>
  <c r="J70" i="30" s="1"/>
  <c r="H83" i="30"/>
  <c r="J83" i="30" s="1"/>
  <c r="H92" i="30"/>
  <c r="J92" i="30" s="1"/>
  <c r="H42" i="30"/>
  <c r="J42" i="30" s="1"/>
  <c r="H33" i="30"/>
  <c r="J33" i="30" s="1"/>
  <c r="H24" i="30"/>
  <c r="J24" i="30" s="1"/>
  <c r="H48" i="30"/>
  <c r="J48" i="30" s="1"/>
  <c r="H93" i="30"/>
  <c r="J93" i="30" s="1"/>
  <c r="H108" i="30"/>
  <c r="J108" i="30" s="1"/>
  <c r="H69" i="30"/>
  <c r="J69" i="30" s="1"/>
  <c r="H81" i="30"/>
  <c r="J81" i="30" s="1"/>
  <c r="H91" i="30"/>
  <c r="J91" i="30" s="1"/>
  <c r="H99" i="30"/>
  <c r="J99" i="30" s="1"/>
  <c r="H135" i="28"/>
  <c r="J135" i="28" s="1"/>
  <c r="J136" i="28" s="1"/>
  <c r="H19" i="28"/>
  <c r="J19" i="28" s="1"/>
  <c r="H22" i="28"/>
  <c r="J22" i="28" s="1"/>
  <c r="H32" i="28"/>
  <c r="J32" i="28" s="1"/>
  <c r="J35" i="28" s="1"/>
  <c r="H43" i="28"/>
  <c r="J43" i="28" s="1"/>
  <c r="H98" i="28"/>
  <c r="J98" i="28" s="1"/>
  <c r="H52" i="28"/>
  <c r="J52" i="28" s="1"/>
  <c r="H56" i="28"/>
  <c r="J56" i="28" s="1"/>
  <c r="H60" i="28"/>
  <c r="J60" i="28" s="1"/>
  <c r="H64" i="28"/>
  <c r="J64" i="28" s="1"/>
  <c r="H68" i="28"/>
  <c r="J68" i="28" s="1"/>
  <c r="H110" i="28"/>
  <c r="J110" i="28" s="1"/>
  <c r="H114" i="28"/>
  <c r="J114" i="28" s="1"/>
  <c r="H132" i="28"/>
  <c r="J132" i="28" s="1"/>
  <c r="H39" i="28"/>
  <c r="J39" i="28" s="1"/>
  <c r="H74" i="28"/>
  <c r="J74" i="28" s="1"/>
  <c r="H85" i="28"/>
  <c r="J85" i="28" s="1"/>
  <c r="H80" i="28"/>
  <c r="J80" i="28" s="1"/>
  <c r="H89" i="28"/>
  <c r="J89" i="28" s="1"/>
  <c r="H93" i="28"/>
  <c r="J93" i="28" s="1"/>
  <c r="H97" i="28"/>
  <c r="J97" i="28" s="1"/>
  <c r="H108" i="28"/>
  <c r="J108" i="28" s="1"/>
  <c r="H120" i="28"/>
  <c r="J120" i="28" s="1"/>
  <c r="H124" i="28"/>
  <c r="J124" i="28" s="1"/>
  <c r="H21" i="28"/>
  <c r="J21" i="28" s="1"/>
  <c r="H25" i="28"/>
  <c r="J25" i="28" s="1"/>
  <c r="H79" i="28"/>
  <c r="J79" i="28" s="1"/>
  <c r="H48" i="28"/>
  <c r="J48" i="28" s="1"/>
  <c r="H55" i="28"/>
  <c r="J55" i="28" s="1"/>
  <c r="H59" i="28"/>
  <c r="J59" i="28" s="1"/>
  <c r="H63" i="28"/>
  <c r="J63" i="28" s="1"/>
  <c r="H67" i="28"/>
  <c r="J67" i="28" s="1"/>
  <c r="H103" i="28"/>
  <c r="J103" i="28" s="1"/>
  <c r="H113" i="28"/>
  <c r="J113" i="28" s="1"/>
  <c r="H131" i="28"/>
  <c r="J131" i="28" s="1"/>
  <c r="H38" i="28"/>
  <c r="J38" i="28" s="1"/>
  <c r="H73" i="28"/>
  <c r="J73" i="28" s="1"/>
  <c r="H81" i="28"/>
  <c r="J81" i="28" s="1"/>
  <c r="H72" i="28"/>
  <c r="J72" i="28" s="1"/>
  <c r="H88" i="28"/>
  <c r="J88" i="28" s="1"/>
  <c r="H92" i="28"/>
  <c r="J92" i="28" s="1"/>
  <c r="H96" i="28"/>
  <c r="J96" i="28" s="1"/>
  <c r="H107" i="28"/>
  <c r="J107" i="28" s="1"/>
  <c r="H119" i="28"/>
  <c r="J119" i="28" s="1"/>
  <c r="H123" i="28"/>
  <c r="J123" i="28" s="1"/>
  <c r="H24" i="28"/>
  <c r="J24" i="28" s="1"/>
  <c r="H34" i="28"/>
  <c r="J34" i="28" s="1"/>
  <c r="H49" i="28"/>
  <c r="J49" i="28" s="1"/>
  <c r="H109" i="28"/>
  <c r="J109" i="28" s="1"/>
  <c r="H54" i="28"/>
  <c r="J54" i="28" s="1"/>
  <c r="H58" i="28"/>
  <c r="J58" i="28" s="1"/>
  <c r="H62" i="28"/>
  <c r="J62" i="28" s="1"/>
  <c r="H66" i="28"/>
  <c r="J66" i="28" s="1"/>
  <c r="H99" i="28"/>
  <c r="J99" i="28" s="1"/>
  <c r="H112" i="28"/>
  <c r="J112" i="28" s="1"/>
  <c r="H130" i="28"/>
  <c r="J130" i="28" s="1"/>
  <c r="H29" i="28"/>
  <c r="J29" i="28" s="1"/>
  <c r="H37" i="28"/>
  <c r="J37" i="28" s="1"/>
  <c r="J41" i="28" s="1"/>
  <c r="H47" i="28"/>
  <c r="J47" i="28" s="1"/>
  <c r="H76" i="28"/>
  <c r="J76" i="28" s="1"/>
  <c r="H104" i="28"/>
  <c r="J104" i="28" s="1"/>
  <c r="H87" i="28"/>
  <c r="J87" i="28" s="1"/>
  <c r="H91" i="28"/>
  <c r="J91" i="28" s="1"/>
  <c r="H95" i="28"/>
  <c r="J95" i="28" s="1"/>
  <c r="H106" i="28"/>
  <c r="J106" i="28" s="1"/>
  <c r="H118" i="28"/>
  <c r="J118" i="28" s="1"/>
  <c r="H122" i="28"/>
  <c r="J122" i="28" s="1"/>
  <c r="H126" i="28"/>
  <c r="J126" i="28" s="1"/>
  <c r="H23" i="28"/>
  <c r="J23" i="28" s="1"/>
  <c r="H33" i="28"/>
  <c r="J33" i="28" s="1"/>
  <c r="H44" i="28"/>
  <c r="J44" i="28" s="1"/>
  <c r="H102" i="28"/>
  <c r="J102" i="28" s="1"/>
  <c r="H53" i="28"/>
  <c r="J53" i="28" s="1"/>
  <c r="H57" i="28"/>
  <c r="J57" i="28" s="1"/>
  <c r="H61" i="28"/>
  <c r="J61" i="28" s="1"/>
  <c r="H65" i="28"/>
  <c r="J65" i="28" s="1"/>
  <c r="H69" i="28"/>
  <c r="J69" i="28" s="1"/>
  <c r="H111" i="28"/>
  <c r="J111" i="28" s="1"/>
  <c r="H129" i="28"/>
  <c r="H28" i="28"/>
  <c r="J28" i="28" s="1"/>
  <c r="J30" i="28" s="1"/>
  <c r="H40" i="28"/>
  <c r="J40" i="28" s="1"/>
  <c r="H75" i="28"/>
  <c r="J75" i="28" s="1"/>
  <c r="H86" i="28"/>
  <c r="J86" i="28" s="1"/>
  <c r="H84" i="28"/>
  <c r="J84" i="28" s="1"/>
  <c r="H90" i="28"/>
  <c r="J90" i="28" s="1"/>
  <c r="H94" i="28"/>
  <c r="J94" i="28" s="1"/>
  <c r="H105" i="28"/>
  <c r="J105" i="28" s="1"/>
  <c r="H117" i="28"/>
  <c r="J117" i="28" s="1"/>
  <c r="H121" i="28"/>
  <c r="J121" i="28" s="1"/>
  <c r="H125" i="28"/>
  <c r="J125" i="28" s="1"/>
  <c r="F129" i="28"/>
  <c r="I105" i="30"/>
  <c r="I109" i="30" s="1"/>
  <c r="I74" i="28"/>
  <c r="I77" i="28" s="1"/>
  <c r="I24" i="30"/>
  <c r="I22" i="28"/>
  <c r="I69" i="30"/>
  <c r="I72" i="30" s="1"/>
  <c r="I81" i="28"/>
  <c r="I82" i="28" s="1"/>
  <c r="J237" i="30" l="1"/>
  <c r="C68" i="32" s="1"/>
  <c r="J241" i="30"/>
  <c r="C70" i="32" s="1"/>
  <c r="J229" i="30"/>
  <c r="C66" i="32" s="1"/>
  <c r="J178" i="30"/>
  <c r="C60" i="32" s="1"/>
  <c r="J204" i="30"/>
  <c r="C62" i="32" s="1"/>
  <c r="J167" i="30"/>
  <c r="C56" i="32" s="1"/>
  <c r="J174" i="30"/>
  <c r="C58" i="32" s="1"/>
  <c r="J124" i="30"/>
  <c r="C46" i="32" s="1"/>
  <c r="J129" i="30"/>
  <c r="C48" i="32" s="1"/>
  <c r="J146" i="30"/>
  <c r="C52" i="32" s="1"/>
  <c r="J156" i="30"/>
  <c r="C54" i="32" s="1"/>
  <c r="J136" i="30"/>
  <c r="C50" i="32" s="1"/>
  <c r="J113" i="30"/>
  <c r="C43" i="32" s="1"/>
  <c r="J109" i="30"/>
  <c r="C41" i="32" s="1"/>
  <c r="J101" i="30"/>
  <c r="C39" i="32" s="1"/>
  <c r="J94" i="30"/>
  <c r="J87" i="30"/>
  <c r="N82" i="30" s="1"/>
  <c r="J75" i="30"/>
  <c r="C33" i="32" s="1"/>
  <c r="J72" i="30"/>
  <c r="C31" i="32" s="1"/>
  <c r="J65" i="30"/>
  <c r="C29" i="32" s="1"/>
  <c r="J40" i="30"/>
  <c r="C21" i="32" s="1"/>
  <c r="J46" i="30"/>
  <c r="C23" i="32" s="1"/>
  <c r="J35" i="30"/>
  <c r="C19" i="32" s="1"/>
  <c r="J59" i="30"/>
  <c r="C27" i="32" s="1"/>
  <c r="J215" i="30"/>
  <c r="C64" i="32" s="1"/>
  <c r="P48" i="30"/>
  <c r="J129" i="28"/>
  <c r="J133" i="28" s="1"/>
  <c r="J50" i="28"/>
  <c r="L49" i="28" s="1"/>
  <c r="J127" i="28"/>
  <c r="J100" i="28"/>
  <c r="L84" i="28" s="1"/>
  <c r="J115" i="28"/>
  <c r="J45" i="28"/>
  <c r="J70" i="28"/>
  <c r="J77" i="28"/>
  <c r="L72" i="28" s="1"/>
  <c r="I129" i="28"/>
  <c r="I133" i="28" s="1"/>
  <c r="J82" i="28"/>
  <c r="L81" i="28" s="1"/>
  <c r="N177" i="30" l="1"/>
  <c r="N67" i="30"/>
  <c r="N100" i="30"/>
  <c r="N98" i="30"/>
  <c r="N56" i="30"/>
  <c r="N97" i="30"/>
  <c r="H70" i="32"/>
  <c r="E70" i="32"/>
  <c r="I70" i="32"/>
  <c r="F70" i="32"/>
  <c r="D70" i="32"/>
  <c r="G70" i="32"/>
  <c r="H50" i="32"/>
  <c r="E50" i="32"/>
  <c r="I50" i="32"/>
  <c r="F50" i="32"/>
  <c r="D50" i="32"/>
  <c r="G50" i="32"/>
  <c r="H46" i="32"/>
  <c r="E46" i="32"/>
  <c r="I46" i="32"/>
  <c r="F46" i="32"/>
  <c r="D46" i="32"/>
  <c r="G46" i="32"/>
  <c r="F60" i="32"/>
  <c r="D60" i="32"/>
  <c r="G60" i="32"/>
  <c r="H60" i="32"/>
  <c r="E60" i="32"/>
  <c r="I60" i="32"/>
  <c r="N45" i="30"/>
  <c r="N54" i="30"/>
  <c r="N99" i="30"/>
  <c r="F56" i="32"/>
  <c r="D56" i="32"/>
  <c r="G56" i="32"/>
  <c r="H56" i="32"/>
  <c r="E56" i="32"/>
  <c r="I56" i="32"/>
  <c r="F48" i="32"/>
  <c r="D48" i="32"/>
  <c r="G48" i="32"/>
  <c r="H48" i="32"/>
  <c r="E48" i="32"/>
  <c r="I48" i="32"/>
  <c r="E29" i="32"/>
  <c r="I29" i="32"/>
  <c r="F29" i="32"/>
  <c r="G29" i="32"/>
  <c r="H29" i="32"/>
  <c r="H58" i="32"/>
  <c r="E58" i="32"/>
  <c r="I58" i="32"/>
  <c r="F58" i="32"/>
  <c r="D58" i="32"/>
  <c r="G58" i="32"/>
  <c r="N62" i="30"/>
  <c r="N96" i="30"/>
  <c r="N176" i="30"/>
  <c r="E54" i="32"/>
  <c r="I54" i="32"/>
  <c r="F54" i="32"/>
  <c r="D54" i="32"/>
  <c r="G54" i="32"/>
  <c r="H54" i="32"/>
  <c r="E66" i="32"/>
  <c r="I66" i="32"/>
  <c r="F66" i="32"/>
  <c r="D66" i="32"/>
  <c r="G66" i="32"/>
  <c r="H66" i="32"/>
  <c r="N80" i="30"/>
  <c r="G52" i="32"/>
  <c r="H52" i="32"/>
  <c r="F52" i="32"/>
  <c r="E52" i="32"/>
  <c r="I52" i="32"/>
  <c r="D52" i="32"/>
  <c r="G64" i="32"/>
  <c r="H64" i="32"/>
  <c r="D64" i="32"/>
  <c r="E64" i="32"/>
  <c r="I64" i="32"/>
  <c r="F64" i="32"/>
  <c r="C35" i="32"/>
  <c r="H35" i="32" s="1"/>
  <c r="N84" i="30"/>
  <c r="N85" i="30"/>
  <c r="N79" i="30"/>
  <c r="N77" i="30"/>
  <c r="N78" i="30"/>
  <c r="N86" i="30"/>
  <c r="N83" i="30"/>
  <c r="G68" i="32"/>
  <c r="H68" i="32"/>
  <c r="D68" i="32"/>
  <c r="E68" i="32"/>
  <c r="I68" i="32"/>
  <c r="F68" i="32"/>
  <c r="N81" i="30"/>
  <c r="I62" i="32"/>
  <c r="H62" i="32"/>
  <c r="E62" i="32"/>
  <c r="D62" i="32"/>
  <c r="F62" i="32"/>
  <c r="G62" i="32"/>
  <c r="C37" i="32"/>
  <c r="H37" i="32" s="1"/>
  <c r="N90" i="30"/>
  <c r="N89" i="30"/>
  <c r="N91" i="30"/>
  <c r="N92" i="30"/>
  <c r="N93" i="30"/>
  <c r="N63" i="30"/>
  <c r="N64" i="30"/>
  <c r="N55" i="30"/>
  <c r="N42" i="30"/>
  <c r="N61" i="30"/>
  <c r="N69" i="30"/>
  <c r="N71" i="30"/>
  <c r="N44" i="30"/>
  <c r="N70" i="30"/>
  <c r="N57" i="30"/>
  <c r="N58" i="30"/>
  <c r="N68" i="30"/>
  <c r="F31" i="32"/>
  <c r="H31" i="32"/>
  <c r="G31" i="32"/>
  <c r="F23" i="32"/>
  <c r="H23" i="32"/>
  <c r="G23" i="32"/>
  <c r="G33" i="32"/>
  <c r="F33" i="32"/>
  <c r="H33" i="32"/>
  <c r="H41" i="32"/>
  <c r="F41" i="32"/>
  <c r="G41" i="32"/>
  <c r="N43" i="30"/>
  <c r="F27" i="32"/>
  <c r="H27" i="32"/>
  <c r="G27" i="32"/>
  <c r="F19" i="32"/>
  <c r="H19" i="32"/>
  <c r="G19" i="32"/>
  <c r="H39" i="32"/>
  <c r="F39" i="32"/>
  <c r="G39" i="32"/>
  <c r="H21" i="32"/>
  <c r="F21" i="32"/>
  <c r="G21" i="32"/>
  <c r="F35" i="32"/>
  <c r="F43" i="32"/>
  <c r="H43" i="32"/>
  <c r="G43" i="32"/>
  <c r="J243" i="30"/>
  <c r="I19" i="32"/>
  <c r="E19" i="32"/>
  <c r="D19" i="32"/>
  <c r="E41" i="32"/>
  <c r="I41" i="32"/>
  <c r="D41" i="32"/>
  <c r="D27" i="32"/>
  <c r="I27" i="32"/>
  <c r="E27" i="32"/>
  <c r="I31" i="32"/>
  <c r="D31" i="32"/>
  <c r="E31" i="32"/>
  <c r="D33" i="32"/>
  <c r="E33" i="32"/>
  <c r="I33" i="32"/>
  <c r="I35" i="32"/>
  <c r="D29" i="32"/>
  <c r="E39" i="32"/>
  <c r="I39" i="32"/>
  <c r="D39" i="32"/>
  <c r="D37" i="32"/>
  <c r="E21" i="32"/>
  <c r="I21" i="32"/>
  <c r="D21" i="32"/>
  <c r="I23" i="32"/>
  <c r="E23" i="32"/>
  <c r="D23" i="32"/>
  <c r="L47" i="28"/>
  <c r="O67" i="30"/>
  <c r="L48" i="28"/>
  <c r="L80" i="28"/>
  <c r="D35" i="32" l="1"/>
  <c r="E35" i="32"/>
  <c r="G35" i="32"/>
  <c r="E37" i="32"/>
  <c r="F37" i="32"/>
  <c r="I37" i="32"/>
  <c r="G37" i="32"/>
  <c r="D43" i="32"/>
  <c r="I43" i="32"/>
  <c r="E43" i="32"/>
  <c r="H21" i="22"/>
  <c r="H39" i="22"/>
  <c r="H47" i="22" l="1"/>
  <c r="H22" i="22"/>
  <c r="G49" i="30" l="1"/>
  <c r="I49" i="30" s="1"/>
  <c r="I52" i="30" s="1"/>
  <c r="G20" i="28"/>
  <c r="I20" i="28" s="1"/>
  <c r="I26" i="28" s="1"/>
  <c r="I16" i="30"/>
  <c r="J16" i="30"/>
  <c r="I22" i="30"/>
  <c r="I31" i="30" s="1"/>
  <c r="H22" i="30"/>
  <c r="J22" i="30" s="1"/>
  <c r="G14" i="30"/>
  <c r="H14" i="30" s="1"/>
  <c r="G14" i="28"/>
  <c r="G13" i="30"/>
  <c r="I13" i="30" l="1"/>
  <c r="H13" i="30"/>
  <c r="J13" i="30" s="1"/>
  <c r="I115" i="30"/>
  <c r="J31" i="30"/>
  <c r="C17" i="32" s="1"/>
  <c r="H49" i="30"/>
  <c r="J49" i="30" s="1"/>
  <c r="H20" i="28"/>
  <c r="J20" i="28" s="1"/>
  <c r="J26" i="28" s="1"/>
  <c r="H14" i="28"/>
  <c r="J14" i="28" s="1"/>
  <c r="I14" i="28"/>
  <c r="J14" i="30"/>
  <c r="I14" i="30"/>
  <c r="G13" i="28"/>
  <c r="H13" i="28" s="1"/>
  <c r="F13" i="28"/>
  <c r="G17" i="32" l="1"/>
  <c r="F17" i="32"/>
  <c r="H17" i="32"/>
  <c r="I17" i="32"/>
  <c r="D17" i="32"/>
  <c r="E17" i="32"/>
  <c r="J52" i="30"/>
  <c r="N49" i="30" s="1"/>
  <c r="I13" i="28"/>
  <c r="I17" i="28" s="1"/>
  <c r="I138" i="28" s="1"/>
  <c r="I17" i="30"/>
  <c r="J13" i="28"/>
  <c r="J17" i="30" l="1"/>
  <c r="C25" i="32"/>
  <c r="N48" i="30"/>
  <c r="N50" i="30"/>
  <c r="N51" i="30"/>
  <c r="J115" i="30"/>
  <c r="I18" i="30"/>
  <c r="I244" i="30" s="1"/>
  <c r="J17" i="28"/>
  <c r="J138" i="28" s="1"/>
  <c r="L9" i="28" s="1"/>
  <c r="H25" i="32" l="1"/>
  <c r="G25" i="32"/>
  <c r="F25" i="32"/>
  <c r="J18" i="30"/>
  <c r="J244" i="30" s="1"/>
  <c r="N13" i="30" s="1"/>
  <c r="C14" i="32"/>
  <c r="C73" i="32" s="1"/>
  <c r="D25" i="32"/>
  <c r="O9" i="30"/>
  <c r="E25" i="32"/>
  <c r="I25" i="32"/>
  <c r="L13" i="28"/>
  <c r="M13" i="28" s="1"/>
  <c r="I14" i="32" l="1"/>
  <c r="I73" i="32" s="1"/>
  <c r="I75" i="32" s="1"/>
  <c r="F14" i="32"/>
  <c r="F73" i="32" s="1"/>
  <c r="F75" i="32" s="1"/>
  <c r="H14" i="32"/>
  <c r="H73" i="32" s="1"/>
  <c r="H75" i="32" s="1"/>
  <c r="D14" i="32"/>
  <c r="D73" i="32" s="1"/>
  <c r="D75" i="32" s="1"/>
  <c r="D76" i="32" s="1"/>
  <c r="G14" i="32"/>
  <c r="G73" i="32" s="1"/>
  <c r="G75" i="32" s="1"/>
  <c r="E14" i="32"/>
  <c r="E73" i="32" s="1"/>
  <c r="E75" i="32" s="1"/>
  <c r="E76" i="32" l="1"/>
  <c r="F76" i="32" s="1"/>
  <c r="G76" i="32" s="1"/>
  <c r="H76" i="32" s="1"/>
  <c r="I76" i="32" s="1"/>
  <c r="D74" i="32"/>
  <c r="E74" i="32" s="1"/>
  <c r="F74" i="32" s="1"/>
  <c r="G74" i="32" s="1"/>
  <c r="H74" i="32" s="1"/>
  <c r="I74" i="32" s="1"/>
</calcChain>
</file>

<file path=xl/sharedStrings.xml><?xml version="1.0" encoding="utf-8"?>
<sst xmlns="http://schemas.openxmlformats.org/spreadsheetml/2006/main" count="2437" uniqueCount="850">
  <si>
    <t xml:space="preserve">SERVICOS PRELIMINARES                                        </t>
  </si>
  <si>
    <t xml:space="preserve">      </t>
  </si>
  <si>
    <t xml:space="preserve">   </t>
  </si>
  <si>
    <t>PINTURA</t>
  </si>
  <si>
    <t>SERVIÇOS EM TERRA</t>
  </si>
  <si>
    <t>INSTALAÇÕES HIDRO-SANITÁRIAS</t>
  </si>
  <si>
    <t>REVESTIMENTOS</t>
  </si>
  <si>
    <t>COBERTA</t>
  </si>
  <si>
    <t xml:space="preserve">ESQUADRIAS </t>
  </si>
  <si>
    <t>PLANILHA ORÇAMENTÁRIA</t>
  </si>
  <si>
    <t>ITEM</t>
  </si>
  <si>
    <t>DESCRIÇÃO DOS SERVIÇOS</t>
  </si>
  <si>
    <t>UNID.</t>
  </si>
  <si>
    <t>QUANT.</t>
  </si>
  <si>
    <t>BDI</t>
  </si>
  <si>
    <t>INSTALAÇÕES ELÉTRICA</t>
  </si>
  <si>
    <t>M</t>
  </si>
  <si>
    <t>INFRAESTRUTURA</t>
  </si>
  <si>
    <t>M³</t>
  </si>
  <si>
    <t>M²</t>
  </si>
  <si>
    <t xml:space="preserve">CHAPISCO 1:4 (CIM/AREIA)  </t>
  </si>
  <si>
    <t>PT</t>
  </si>
  <si>
    <t>74065/002</t>
  </si>
  <si>
    <t>LIMPEZA FINAL DA OBRA</t>
  </si>
  <si>
    <t>CÓDIGO</t>
  </si>
  <si>
    <t>SERVIÇOS COMPLEMENTARES</t>
  </si>
  <si>
    <t>76448/001</t>
  </si>
  <si>
    <t>VALOR TOTAL C/ BDI</t>
  </si>
  <si>
    <t>FONTE</t>
  </si>
  <si>
    <t>SINAPI</t>
  </si>
  <si>
    <t>ORSE</t>
  </si>
  <si>
    <t>VALOR UNT. S/ BDI</t>
  </si>
  <si>
    <t>VALOR UNT. C/ BDI</t>
  </si>
  <si>
    <t>VALOR TOTAL S/ BDI</t>
  </si>
  <si>
    <t>1.1</t>
  </si>
  <si>
    <t>2.1</t>
  </si>
  <si>
    <t>2.2</t>
  </si>
  <si>
    <t>3.1</t>
  </si>
  <si>
    <t>5.1</t>
  </si>
  <si>
    <t>6.1</t>
  </si>
  <si>
    <t>6.2</t>
  </si>
  <si>
    <t>7.1</t>
  </si>
  <si>
    <t>7.2</t>
  </si>
  <si>
    <t>7.3</t>
  </si>
  <si>
    <t>8.1</t>
  </si>
  <si>
    <t>10.1</t>
  </si>
  <si>
    <t>10.2</t>
  </si>
  <si>
    <t>11.1</t>
  </si>
  <si>
    <t>11.2</t>
  </si>
  <si>
    <t>11.3</t>
  </si>
  <si>
    <t>12.1</t>
  </si>
  <si>
    <t>12.2</t>
  </si>
  <si>
    <t>14.1</t>
  </si>
  <si>
    <t>14.2</t>
  </si>
  <si>
    <t xml:space="preserve">VALOR TOTAL R$ </t>
  </si>
  <si>
    <t>ESTADO DE ALAGOAS</t>
  </si>
  <si>
    <t>DATA BASE:                      (SINAPI/ ORSE)</t>
  </si>
  <si>
    <t>SUPRAESTRUTURA</t>
  </si>
  <si>
    <t>PAVIMENTAÇÃO</t>
  </si>
  <si>
    <t>PISO CIMENTADO TRACO 1:4 (CIMENTO E AREIA) ACABAMENTO RUSTICO ESPESSURA 1,5 CM PREPARO MANUAL DA ARGAMASSA</t>
  </si>
  <si>
    <t>PISO EM GRANILITE, MARMORITE OU GRANITINA ESPESSURA 8 MM, INCLUSO JUNTAS DE DILATACAO PLASTICAS</t>
  </si>
  <si>
    <t>DEMOLIÇÃO DE PISO CIMENTADO</t>
  </si>
  <si>
    <t>UND</t>
  </si>
  <si>
    <t>LOUÇAS E METAIS</t>
  </si>
  <si>
    <t>PAREDES, PAINÉIS E BANCADAS</t>
  </si>
  <si>
    <t>TORNEIRA CROMADA TUBO MÓVEL, DE PAREDE, 1/2" OU 3/4", PARA PIA DE COZINHA, PADRÃO MÉDIO - FORNECIMENTO E INSTALAÇÃO.</t>
  </si>
  <si>
    <t xml:space="preserve">VASO SANITÁRIO SIFONADO COM CAIXA ACOPLADA LOUÇA BRANCA - PADRÃO MÉDIO, INCLUSO ENGATE FLEXÍVEL EM PLÁSTICO BRANCO, 1/2" X 40CM - FORNECIMENTO E INSTALAÇÃO. </t>
  </si>
  <si>
    <t>ASSENTO PLASTICO, UNIVERSAL, BRANCO, PARA VASO SANITARIO, TIPO CONVENCIONAL.</t>
  </si>
  <si>
    <t>QUADRO DE DISTRIBUICAO DE ENERGIA EM CHAPA DE ACO GALVANIZADO, PARA 12 DISJUNTORES TERMOMAGNETICOS MONOPOLARES, COM BARRAMENTO TRIFASICO E NEUTRO - FORNECIMENTO E INSTALACAO</t>
  </si>
  <si>
    <t>PONTO DE INTERRUPTOR 01 SEÇÃO + TOMADA 2P+T SIMPLES 10 (INCLUSIVE CAIXAS, ELETRODUTOS, FIAÇÃO E ACABAMENTO)</t>
  </si>
  <si>
    <t>PONTO DE INTERRUPTOR 02 SEÇÕES (INCLUSIVE CAIXAS, ELETRODUTOS, FIAÇÃO E ACABAMENTO)</t>
  </si>
  <si>
    <t>PINTURA ESMALTE ACETINADO PARA MADEIRA, DUAS DEMAOS, SOBRE FUNDO NIVELADOR BRANCO - PORTAS DE MADEIRA</t>
  </si>
  <si>
    <t>TORNEIRA CROMADA PARA JARDIM</t>
  </si>
  <si>
    <t>FORRO DE PVC, EM PLACA, COR BRANCA, APLICADO</t>
  </si>
  <si>
    <t>,</t>
  </si>
  <si>
    <t>4.1</t>
  </si>
  <si>
    <t>4.2</t>
  </si>
  <si>
    <t>4.3</t>
  </si>
  <si>
    <t>5.2</t>
  </si>
  <si>
    <t>5.3</t>
  </si>
  <si>
    <t>9.1</t>
  </si>
  <si>
    <t>9.2</t>
  </si>
  <si>
    <t>10.3</t>
  </si>
  <si>
    <t>11.4</t>
  </si>
  <si>
    <t>11.5</t>
  </si>
  <si>
    <t>11.6</t>
  </si>
  <si>
    <t>11.7</t>
  </si>
  <si>
    <t>12.3</t>
  </si>
  <si>
    <t>13.1</t>
  </si>
  <si>
    <t>13.2</t>
  </si>
  <si>
    <t>14.3</t>
  </si>
  <si>
    <t>14.4</t>
  </si>
  <si>
    <t>15.1</t>
  </si>
  <si>
    <t>TOTAL DO ITEM 1</t>
  </si>
  <si>
    <t>TOTAL DO ITEM 14</t>
  </si>
  <si>
    <t>TOTAL DO ITEM 13</t>
  </si>
  <si>
    <t>TOTAL DO ITEM 12</t>
  </si>
  <si>
    <t>TOTAL DO ITEM 11</t>
  </si>
  <si>
    <t>TOTAL DO ITEM 9</t>
  </si>
  <si>
    <t>TOTAL DO ITEM 7</t>
  </si>
  <si>
    <t>TOTAL DO ITEM 6</t>
  </si>
  <si>
    <t>TOTAL DO ITEM 5</t>
  </si>
  <si>
    <t>TOTAL DO ITEM 4</t>
  </si>
  <si>
    <t>TOTAL DO ITEM 3</t>
  </si>
  <si>
    <t>TOTAL DO ITEM 2</t>
  </si>
  <si>
    <t>Responsável Técnico:</t>
  </si>
  <si>
    <t>73899/002</t>
  </si>
  <si>
    <t xml:space="preserve">DEMOLIÇÕES E RETIRADAS                                      </t>
  </si>
  <si>
    <t>9.4</t>
  </si>
  <si>
    <t>13.3</t>
  </si>
  <si>
    <t>13.4</t>
  </si>
  <si>
    <t>13.5</t>
  </si>
  <si>
    <t>13.6</t>
  </si>
  <si>
    <t>2.3</t>
  </si>
  <si>
    <t>2.4</t>
  </si>
  <si>
    <t>2.5</t>
  </si>
  <si>
    <t>2.6</t>
  </si>
  <si>
    <t>2.7</t>
  </si>
  <si>
    <t>13.7</t>
  </si>
  <si>
    <t>13.8</t>
  </si>
  <si>
    <t>30 DIAS</t>
  </si>
  <si>
    <t>R$</t>
  </si>
  <si>
    <t>%</t>
  </si>
  <si>
    <t>60 DIAS</t>
  </si>
  <si>
    <t>90 DIAS</t>
  </si>
  <si>
    <t>PREÇO TOTAL COM BDI</t>
  </si>
  <si>
    <t>TOTAL GERAL</t>
  </si>
  <si>
    <t>TOTAL ACUMULADO</t>
  </si>
  <si>
    <t>PERCENTUAL  MENSAL %</t>
  </si>
  <si>
    <t>PERCENTUAL  MENSAL ACUMULADO %</t>
  </si>
  <si>
    <t>CRONOGRAMA FÍSICO-FINANCEIRO</t>
  </si>
  <si>
    <t>REMOÇÃO DE AZULEJO E SUBSTRATO DE ADERENCIA EM ARGAMASSA</t>
  </si>
  <si>
    <t>RETIRADA DE APARELHOS SANITARIOS (VASOS E LAVATÓRIOS)</t>
  </si>
  <si>
    <t>CARGA MANUAL DE ENTULHO EM CAMINHAO BASCULANTE.</t>
  </si>
  <si>
    <t>TRANSPORTE DE ENTULHO COM CAMINHAO BASCULANTE, ROD. PAVIMENTADA, DMT 0,5 A 1,0 KM</t>
  </si>
  <si>
    <t>CORRIMAO EM TUBO ACO GALVANIZADO 1 1/4" COM BRACADEIRA</t>
  </si>
  <si>
    <t>74072/003</t>
  </si>
  <si>
    <t>9.5</t>
  </si>
  <si>
    <t>COMPOSIÇÃO - 02</t>
  </si>
  <si>
    <t>COMPOSIÇÃO - 01</t>
  </si>
  <si>
    <t xml:space="preserve"> DESCRIÇÃO</t>
  </si>
  <si>
    <t>UNIDADE</t>
  </si>
  <si>
    <t xml:space="preserve">QUANTIDADE </t>
  </si>
  <si>
    <t>VALOR UNITÁRIO</t>
  </si>
  <si>
    <t>VALOR TOTAL</t>
  </si>
  <si>
    <t>H</t>
  </si>
  <si>
    <t>TOTAL</t>
  </si>
  <si>
    <t>COMPOSIÇÃO - 03</t>
  </si>
  <si>
    <t>SERVENTE COM ENCARGOS COMPLEMENTARES</t>
  </si>
  <si>
    <t>CHUVEIRO ELETRICO COMUM CORPO PLASTICO TIPO DUCHA, FORNECIMENTO E INST</t>
  </si>
  <si>
    <t>13.9</t>
  </si>
  <si>
    <t>13.10</t>
  </si>
  <si>
    <t>PONTO DE INTERRUPTOR 01 SEÇÃO (1 S) EMBUTIDO COM ELETRODUTO DE PVC FLEXÍVEL SANFONADO Ø 3/4"</t>
  </si>
  <si>
    <t>5.4</t>
  </si>
  <si>
    <t>TOTAL DO ITEM 17</t>
  </si>
  <si>
    <t>ESTRUTURA METALICA EM TESOURAS OU TRELICAS, FORNECIMENTO E MONTAGEM</t>
  </si>
  <si>
    <t>EMBOÇO, PARA RECEBIMENTO DE CERÂMICA, EM ARGAMASSA TRAÇO 1:2:8, PREPARO MECÂNICO COM BETONEIRA 400L, APLICADO MANUALMENTE EM FACES INTERNAS DE PAREDES, PARA AMBIENTE COM ÁREA MAIOR QUE 10M2, ESPESSURA DE 20MM, COM EXECUÇÃO DE TALISCAS</t>
  </si>
  <si>
    <t>MASSA ÚNICA, PARA RECEBIMENTO DE PINTURA, EM ARGAMASSA TRAÇO 1:2:8, PREPARO MANUAL, APLICADA MANUALMENTE EM FACES INTERNAS DE PAREDES, ESPESSURA DE 20MM, COM EXECUÇÃO DE TALISCAS</t>
  </si>
  <si>
    <t>MASSA ÚNICA EM ARGAMASSA TRAÇO 1:2:8, PREPARO MANUAL, APLICADA MANUALMENTE EM PANOS DE FACHADA COM PRESENÇA DE VÃOS, ESPESSURA DE 25 MM.</t>
  </si>
  <si>
    <t>LASTRO DE CONCRETO, PREPARO MECÂNICO, INCLUSOS ADITIVO IMPERMEABILIZANTE, LANÇAMENTO E ADENSAMENTO</t>
  </si>
  <si>
    <t>LAVATÓRIO LOUÇA BRANCA SUSPENSO, 29,5 X 39CM OU EQUIVALENTE, PADRÃO POPULAR, INCLUSO SIFÃO TIPO GARRAFA EM PVC, VÁLVULA E ENGATE FLEXÍVEL 30CM EM PLÁSTICO E TORNEIRA CROMADA DE MESA, PADRÃO POPULAR - FORNECIMENTO E INSTALAÇÃO</t>
  </si>
  <si>
    <t>SABONETEIRA PLASTICA TIPO DISPENSER PARA SABONETE LIQUIDO COM RESERVATORIO 800 A 1500 ML, INCLUSO FIXAÇÃO</t>
  </si>
  <si>
    <t>PONTO DE LUZ EM TETO OU PAREDE PARA INSTALAÇÃO DE LUMINÁRIA (INCLUSIVE CAIXAS, ELETRODUTOS E FIAÇÃO)</t>
  </si>
  <si>
    <t>PONTO DE TOMADA RESIDENCIAL INCLUINDO TOMADA 20A/250V, CAIXA ELÉTRICA, ELETRODUTO, CABO, RASGO, QUEBRA E CHUMBAMENTO</t>
  </si>
  <si>
    <t>PONTO DE TOMADA RESIDENCIAL INCLUINDO TOMADA 10A/250V, CAIXA ELÉTRICA, ELETRODUTO, CABO, RASGO, QUEBRA E CHUMBAMENTO.</t>
  </si>
  <si>
    <t>DISJUNTOR MONOPOLAR TIPO DIN, CORRENTE NOMINAL DE 20A - FORNECIMENTO E INSTALAÇÃO.</t>
  </si>
  <si>
    <t>DISJUNTOR MONOPOLAR TIPO DIN, CORRENTE NOMINAL DE 10A - FORNECIMENTO E INSTALAÇÃO</t>
  </si>
  <si>
    <t>DISJUNTOR MONOPOLAR TIPO DIN, CORRENTE NOMINAL DE 32A - FORNECIMENTO E INSTALAÇÃO</t>
  </si>
  <si>
    <t>APLICAÇÃO MANUAL DE PINTURA COM TINTA LÁTEX PVA, DUAS DEMÃO - PAREDES INTERNAS</t>
  </si>
  <si>
    <t>APLICAÇÃO MANUAL DE PINTURA COM TINTA LÁTEX PVA, DUAS DEMÃO - PAREDES EXTERNAS</t>
  </si>
  <si>
    <t>PINTURA ESMALTE FOSCO, DUAS DEMAOS, SOBRE SUPERFICIE METALICA, INCLUSO UMA DEMAO DE FUNDO ANTICORROSIVO.</t>
  </si>
  <si>
    <t>74145/001</t>
  </si>
  <si>
    <t>EMBASAMENTO C/PEDRA ARGAMASSADA UTILIZANDO ARG.CIM/AREIA 1:4</t>
  </si>
  <si>
    <t>VERGA PRÉ-MOLDADA PARA JANELAS COM ATÉ 1,5 M DE VÃO</t>
  </si>
  <si>
    <t>VERGA PRÉ-MOLDADA PARA JANELAS COM MAIS DE 1,5 M DE VÃO.</t>
  </si>
  <si>
    <t>VERGA PRÉ-MOLDADA PARA PORTAS COM ATÉ 1,5 M DE VÃO.</t>
  </si>
  <si>
    <t>VERGA PRÉ-MOLDADA PARA PORTAS COM MAIS DE 1,5 M DE VÃO</t>
  </si>
  <si>
    <t>BANCADA EM GRANITO CINZA ANDORINHA, E=2CM</t>
  </si>
  <si>
    <t>PREFEITURA MUNICIPAL DE JACARÉ DOS HOMENS</t>
  </si>
  <si>
    <r>
      <rPr>
        <b/>
        <sz val="14"/>
        <rFont val="Arial"/>
        <family val="2"/>
      </rPr>
      <t xml:space="preserve">PLANILHA DE COMPOSIÇÃO DO BDI         </t>
    </r>
    <r>
      <rPr>
        <b/>
        <sz val="12"/>
        <rFont val="Arial"/>
        <family val="2"/>
      </rPr>
      <t xml:space="preserve"> </t>
    </r>
  </si>
  <si>
    <t>LEGENDA</t>
  </si>
  <si>
    <t>ÍTENS QUE COMPÕEM O BDI</t>
  </si>
  <si>
    <t>PERCENTUAL (%)</t>
  </si>
  <si>
    <t>AC</t>
  </si>
  <si>
    <t>ADMINISTRAÇÃO CENTRAL</t>
  </si>
  <si>
    <t>S + G</t>
  </si>
  <si>
    <t>SEGURO E GARANTIA</t>
  </si>
  <si>
    <t>R</t>
  </si>
  <si>
    <t>RISCOS</t>
  </si>
  <si>
    <t>DF</t>
  </si>
  <si>
    <t>DESPESAS FINANCEIRAS</t>
  </si>
  <si>
    <t>L</t>
  </si>
  <si>
    <t>LUCRO</t>
  </si>
  <si>
    <t>I</t>
  </si>
  <si>
    <t>IMPOSTOS</t>
  </si>
  <si>
    <t>- COFINS</t>
  </si>
  <si>
    <t>- PIS</t>
  </si>
  <si>
    <t>- ISS</t>
  </si>
  <si>
    <t>- INSS (ALIQUOTA DE DESONERAÇÃO)</t>
  </si>
  <si>
    <t>EQUAÇÃO DO BDI</t>
  </si>
  <si>
    <t>BDI=</t>
  </si>
  <si>
    <t>( 1 + AC + S +G +R )( 1 + DF )( 1 + L )</t>
  </si>
  <si>
    <t>( 1 - I )</t>
  </si>
  <si>
    <t>Prefeitura Municipal de Jacaré dos Homens:</t>
  </si>
  <si>
    <t>ADMINISTRAÇÃO LOCAL / MANUTENÇÃO DO CANTEIRO DE OBRAS</t>
  </si>
  <si>
    <t>MÊS</t>
  </si>
  <si>
    <t>1.2</t>
  </si>
  <si>
    <t>MOBILIZAÇÃO DE PESSOAL E EQUIPAMENTOS</t>
  </si>
  <si>
    <t>1.3</t>
  </si>
  <si>
    <t>DESMOBILIZAÇÃO DE PESSOAL E EQUIPAMENTOS</t>
  </si>
  <si>
    <t>1.4</t>
  </si>
  <si>
    <t>74209/001</t>
  </si>
  <si>
    <t>ADMINISTRAÇÃO LOCAL DA OBRA - MÊS</t>
  </si>
  <si>
    <t>PLACA DE OBRA EM CHAPA DE ACO GALVANIZADO</t>
  </si>
  <si>
    <t>CAMINHÃO TOCO, PBT 16.000 KG, CARGA ÚTIL MÁX. 10.685 KG, DIST. ENTRE EIXOS 4,8 M, POTÊNCIA 189 CV, INCLUSIVE CARROCERIA FIXA ABERTA DE MADEIRA P/ TRANSPORTE GERAL DE CARGA SECA, DIMEN. APROX. 2,5 X 7,00 X 0,50 M - CHP DIURNO. AF_06/2014</t>
  </si>
  <si>
    <t>5824</t>
  </si>
  <si>
    <t>3.2</t>
  </si>
  <si>
    <t>TOTAL DO ITEM 18</t>
  </si>
  <si>
    <t>MOBILIZAÇÃO DE PESSOAL E EQUIPAMENTOS - UND</t>
  </si>
  <si>
    <t>DESMOBILIZAÇÃO DE PESSOAL E EQUIPAMENTOS - UND</t>
  </si>
  <si>
    <t>PLANILHA DE COMPOSIÇÕES UNITÁRIAS</t>
  </si>
  <si>
    <t>OBRA:  REFORMA E AMPLIAÇÃO DO POSTO DE SAÚDE ANTÔNIO FIGUEIREDO</t>
  </si>
  <si>
    <t>LOCAL: JACARÉ DOS HOMENS-AL</t>
  </si>
  <si>
    <t>DML</t>
  </si>
  <si>
    <t>Área</t>
  </si>
  <si>
    <t>und</t>
  </si>
  <si>
    <t>12.13</t>
  </si>
  <si>
    <t>12.12</t>
  </si>
  <si>
    <t>12.11</t>
  </si>
  <si>
    <t>12.10</t>
  </si>
  <si>
    <t>12.9</t>
  </si>
  <si>
    <t>12.8</t>
  </si>
  <si>
    <t>12.7</t>
  </si>
  <si>
    <t>12.6</t>
  </si>
  <si>
    <t>12.5</t>
  </si>
  <si>
    <t>12.4</t>
  </si>
  <si>
    <t>m²</t>
  </si>
  <si>
    <t>Total</t>
  </si>
  <si>
    <t>SINAPI - MAIO/ 2017                 ORSE - ABRIL/2017</t>
  </si>
  <si>
    <t>ESCAVAÇÃO MANUAL DE VALA OU CAVA EM MATERIAL DE s 1ª CATEGORIA, PROFUNDIDADE ATÉ 1,50M</t>
  </si>
  <si>
    <t>ATERRO DE CAIXÃO DE EDIIFICAÇÃO, COM FORNEC. DE AREIA, ADENSADA COM ÁGUA</t>
  </si>
  <si>
    <t>ALVENARIA DE EMBASAMENTO EM TIJOLOS CERAMICOS MACICOS 5X10X20CM, ASSENTADO COM ARGAMASSA TRACO 1:2:8 (CIMENTO, CAL E AREIA)</t>
  </si>
  <si>
    <t xml:space="preserve">ALVENARIA DE VEDAÇÃO DE BLOCOS CERÂMICOS FURADOS NA HORIZONTAL DE 9X19X19CM (ESPESSURA 9CM) </t>
  </si>
  <si>
    <t>TELHA METÁLICA EM CHAPA DE AÇO GALVANIZADO NATURAL ONDULADA E=0,5MM</t>
  </si>
  <si>
    <t>pt</t>
  </si>
  <si>
    <t>74166/001</t>
  </si>
  <si>
    <t>74051/002</t>
  </si>
  <si>
    <t>m</t>
  </si>
  <si>
    <t>WC</t>
  </si>
  <si>
    <t>PONTO DE ÁGUA DN 25MM</t>
  </si>
  <si>
    <t>PONTO DE ESGOTO 40 M</t>
  </si>
  <si>
    <t>PONTO DE ESGOTO 50 M</t>
  </si>
  <si>
    <t>CAIXA DE PASSAGEM/INSPEÇÃO</t>
  </si>
  <si>
    <t>CAIXA SIFONADA 150X150X50 M</t>
  </si>
  <si>
    <t>RALO SIFONADO 100X100MM</t>
  </si>
  <si>
    <t>CAIXA DE GORDURA</t>
  </si>
  <si>
    <t>REGISTRO GAVETA DN 25 MM</t>
  </si>
  <si>
    <t>REGISTRO PRESSÃO 1/2''</t>
  </si>
  <si>
    <t>TUBO 25 MM - ÁGUA FRIA</t>
  </si>
  <si>
    <t>TUBO 100 MM - ESGOTO</t>
  </si>
  <si>
    <t>TUBO 50 MM - ESGOTO</t>
  </si>
  <si>
    <t>TUBO 40 MM - ESGOTO</t>
  </si>
  <si>
    <t>PONTO DE ESGOTO 100 M</t>
  </si>
  <si>
    <t>CURATIVO</t>
  </si>
  <si>
    <t>VACINA</t>
  </si>
  <si>
    <t>ESPERA</t>
  </si>
  <si>
    <t>REMOÇÃO DE ESQUARDIAS DE MADEIRA (PORTAS, JANELAS E GRADES)</t>
  </si>
  <si>
    <t>DEMOLIÇÃO DE ALVENARIA DE TIJOLOS FURADOS S/REAPROVEITAMENTO</t>
  </si>
  <si>
    <t>LASTRO DE CONCRETO (E = 5 CM)</t>
  </si>
  <si>
    <t>PORTA DE ALUMÍNIO COM VIDRO, 80X210CM, ESPESSURA DE 3,5CM, INCLUSO DOBRADIÇAS - FORNECIMENTO E INSTALAÇÃO.</t>
  </si>
  <si>
    <t>KIT DE PORTA DE MADEIRA PARA PINTURA, SEMI-OCA (LEVE OU MÉDIA), PADRÃO MÉDIO, 86X213CM, ESPESSURA DE 3,5CM</t>
  </si>
  <si>
    <t>KIT DE PORTA DE MADEIRA PARA PINTURA, SEMI-OCA (LEVE OU MÉDIA), PADRÃO MÉDIO, 96X213CM, ESPESSURA DE 3,5CM</t>
  </si>
  <si>
    <t>PORTA DE CORRER DE ALUMÍNIO COM VIDRO, 384X210CM, ESPESSURA DE 3,5CM, INCLUSO DOBRADIÇAS - FORNECIMENTO E INSTALAÇÃO.</t>
  </si>
  <si>
    <t>PORTA DE ALUMÍNIO COM VIDRO, 120X210CM, ESPESSURA DE 3,5CM, INCLUSO DOBRADIÇAS - FORNECIMENTO E INSTALAÇÃO.</t>
  </si>
  <si>
    <t>PORTA DE ALUMÍNIO COM VIDRO, 172X210CM, ESPESSURA DE 3,5CM, INCLUSO DOBRADIÇAS - FORNECIMENTO E INSTALAÇÃO.</t>
  </si>
  <si>
    <t>JANELA DE CORRER DE ALUMÍNIO, 100X110CM, FIXAÇÃO COM PARAFUSO SOBRE CONTRAMARCO (EXCLUSIVE CONTRAMARCO), COM VIDROS, PADRONIZADA.</t>
  </si>
  <si>
    <t>JANELA DE CORRER DE ALUMÍNIO, 120X110CM, FIXAÇÃO COM PARAFUSO SOBRE CONTRAMARCO (EXCLUSIVE CONTRAMARCO), COM VIDROS, PADRONIZADA.</t>
  </si>
  <si>
    <t>JANELA DE CORRER DE ALUMÍNIO, 150X110CM, FIXAÇÃO COM PARAFUSO SOBRE CONTRAMARCO (EXCLUSIVE CONTRAMARCO), COM VIDROS, PADRONIZADA.</t>
  </si>
  <si>
    <t>JANELA DE CORRER DE ALUMÍNIO, 180X110CM, FIXAÇÃO COM PARAFUSO SOBRE CONTRAMARCO (EXCLUSIVE CONTRAMARCO), COM VIDROS, PADRONIZADA.</t>
  </si>
  <si>
    <t>JANELA DE CORRER DE ALUMÍNIO, 260X110CM, FIXAÇÃO COM PARAFUSO SOBRE CONTRAMARCO (EXCLUSIVE CONTRAMARCO), COM VIDROS, PADRONIZADA.</t>
  </si>
  <si>
    <t>JANELA DE CORRER DE ALUMÍNIO, 300X110CM, FIXAÇÃO COM PARAFUSO SOBRE CONTRAMARCO (EXCLUSIVE CONTRAMARCO), COM VIDROS, PADRONIZADA.</t>
  </si>
  <si>
    <t>JANELA DE ALUMÍNIO GUILHOTINA, 80X110CM, FIXAÇÃO COM PARAFUSO SOBRE CONTRAMARCO(EXCLUSIVE CONTRAMARCO), COM VIDROS, PADRONIZADA.</t>
  </si>
  <si>
    <t>JANELA DE ALUMÍNIO MAXIM, 80X110CM, FIXAÇÃO COM PARAFUSO SOBRE CONTRAMARCO(EXCLUSIVE CONTRAMARCO), COM VIDROS, PADRONIZADA.</t>
  </si>
  <si>
    <t>JANELA DE ALUMÍNIO MAXIM, 100X30CM, FIXAÇÃO COM PARAFUSO SOBRE CONTRAMARCO(EXCLUSIVE CONTRAMARCO), COM VIDROS, PADRONIZADA.</t>
  </si>
  <si>
    <t>JANELA DE ALUMÍNIO MAXIM, 100X80CM, FIXAÇÃO COM PARAFUSO SOBRE CONTRAMARCO(EXCLUSIVE CONTRAMARCO), COM VIDROS, PADRONIZADA.</t>
  </si>
  <si>
    <t>REVESTIMENTO CERÂMICO PARA PARTEDE,30X30, REJUNTADO</t>
  </si>
  <si>
    <t>DATA: 27/07/2017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</si>
  <si>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</si>
  <si>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</si>
  <si>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</si>
  <si>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</si>
  <si>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</si>
  <si>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</si>
  <si>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</si>
  <si>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</si>
  <si>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</si>
  <si>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</si>
  <si>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</si>
  <si>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</si>
  <si>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</si>
  <si>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8.15</t>
  </si>
  <si>
    <t>8.16</t>
  </si>
  <si>
    <t>8.17</t>
  </si>
  <si>
    <t>8.18</t>
  </si>
  <si>
    <t>11.8</t>
  </si>
  <si>
    <t>11.9</t>
  </si>
  <si>
    <t>11.10</t>
  </si>
  <si>
    <t>11.11</t>
  </si>
  <si>
    <t>11.12</t>
  </si>
  <si>
    <t>11.13</t>
  </si>
  <si>
    <t>11.14</t>
  </si>
  <si>
    <t>74198/002</t>
  </si>
  <si>
    <t xml:space="preserve">SUMIDOURO EM ALVENARIA DE TIJOLO CERAMICO MACIÇO </t>
  </si>
  <si>
    <t>FOSSA SÉPTICA</t>
  </si>
  <si>
    <t>11.15</t>
  </si>
  <si>
    <t>11.16</t>
  </si>
  <si>
    <t>PAPELEIRA DE PAREDE EM METAL CROMADO SEM TAMPA, INCLUSO FIXAÇÃO</t>
  </si>
  <si>
    <t>VASO SANITARIO SIFONADO CONVENCIONAL PARA PNE COM LOUÇA BRANCA SEM ASSENTO, INCLUSO CONJUNTO DE LIGAÇÃO PARA BACIA SANITÁRIA AJUSTÁVEL - FORNECIMENTO E INSTALAÇÃO.</t>
  </si>
  <si>
    <t>CUBA DE EMBUTIR DE AÇO INOXIDÁVEL MÉDIA, INCLUSO VÁLVULA TIPO AMERICANA EM METAL CROMADO E SIFÃO FLEXÍVEL EM PVC - FORNECIMENTO E INSTALAÇÃO</t>
  </si>
  <si>
    <t>TORNEIRA CROMADA 1/2" OU 3/4" PARA TANQUE, PADRÃO POPULAR - FORNECIMENTO E INSTALAÇÃO</t>
  </si>
  <si>
    <t>REFORMA</t>
  </si>
  <si>
    <t>9.3</t>
  </si>
  <si>
    <t>ASSENTO PARA VASO SANITARIO, REMOVÍVEL, P/ DEFICIENTE FÍSICO, DECA OU SIMILAR</t>
  </si>
  <si>
    <t>TANQUE EM CHAPA INOX - 304, DIMENSÕES 120X80X50MM, POLIDO OU ESCOVADO, EXCLUSIVE, SIFÃO, VÁLVULA E TORNEIRA</t>
  </si>
  <si>
    <t>COMPOSIÇÃO - 04</t>
  </si>
  <si>
    <t>REVESTIMENTO CERÂMICO PARA PAREDE,30X30, REJUNTADO</t>
  </si>
  <si>
    <t>ALVENARIA DE EMBASAMENTO EM TIJOLOS CERAMICOS MACICOS 5X10X20CM, ASSENTADO COM ARGAMASSA TRACO 1:2:8</t>
  </si>
  <si>
    <t>EXECUÇÃO DE ESTRUTURAS DE CONCRETO ARMADO, PARA EDIFICAÇÃO INSTITUCIONAL TÉRREA, FCK = 25 MPA ( PILAR 10X30 )</t>
  </si>
  <si>
    <t>TOTAL DO ITEM 15</t>
  </si>
  <si>
    <t>DEMOLOÇÃO DE ALVENARIA</t>
  </si>
  <si>
    <t>TERRAÇO</t>
  </si>
  <si>
    <t>RECEPÇÃO</t>
  </si>
  <si>
    <t xml:space="preserve">FARMÁCIA </t>
  </si>
  <si>
    <t>WC MASC</t>
  </si>
  <si>
    <t>WC FEM</t>
  </si>
  <si>
    <t>CIRC 01</t>
  </si>
  <si>
    <t>CONSULTÓRIO ODONTOLÓGICO</t>
  </si>
  <si>
    <t>PROCEDIMENTO NEBULIZAÇÃO E COLETA</t>
  </si>
  <si>
    <t>CONSULTÓRIO MÉDICO</t>
  </si>
  <si>
    <t>ENFERMAGEM</t>
  </si>
  <si>
    <t>REUNIÃO</t>
  </si>
  <si>
    <t xml:space="preserve">SERVIÇO </t>
  </si>
  <si>
    <t>DESPENSA</t>
  </si>
  <si>
    <t>COZINHA</t>
  </si>
  <si>
    <t>RECEPÇÃO / LAV / EXPURGO</t>
  </si>
  <si>
    <t>ESTERELIZAÇÃO ESTOCAGEM</t>
  </si>
  <si>
    <t>H parede interna</t>
  </si>
  <si>
    <t>Esp de parede</t>
  </si>
  <si>
    <t>DEMOLOÇÃO DE PISO CIMENTADO</t>
  </si>
  <si>
    <t>REMOÇÃO DE AZULEJOS</t>
  </si>
  <si>
    <t xml:space="preserve">H Rev ceramico </t>
  </si>
  <si>
    <t>RETIRADA DE VASO SANITÁRIO</t>
  </si>
  <si>
    <t>REMOÇÃO DE TRAMA DE MADEIRA PARA COBERTURA, DE FORMA MANUAL, SEM REAPROVEITAMENTO</t>
  </si>
  <si>
    <t>REMOÇÃO DE TELHAS, DE FIBROCIMENTO, METÁLICA E CERÂMICA, DE FORMA MANUAL, SEM REAPROVEITAMENTO</t>
  </si>
  <si>
    <t>PR[EDIO ANTIGO</t>
  </si>
  <si>
    <t>REMOÇÃO DE COBERTA</t>
  </si>
  <si>
    <t>REMOÇÃO DE PORTAS, DE FORMA MANUAL, SEM REAPROVEITAMENTO</t>
  </si>
  <si>
    <t>REMOÇÃO DE JANELAS, DE FORMA MANUAL, SEM REAPROVEITAMENTO.</t>
  </si>
  <si>
    <t>RETIRADA DE PORTAS DE MADEIRA</t>
  </si>
  <si>
    <t>RETIRADA DE JANELAS DE MADEIRA</t>
  </si>
  <si>
    <t>REMOÇÃO DE LOUÇAS, DE FORMA MANUAL, SEM REAPROVEITAMENTO (VASOS E LAVATÓRIOS)</t>
  </si>
  <si>
    <t>DEMOLIÇÃO DE ALVENARIA DE BLOCO FURADO, DE FORMA MANUAL, SEM REAPROVEITAMENTO</t>
  </si>
  <si>
    <t>DEMOLIÇÃO DE REVESTIMENTO CERÂMICO, DE FORMA MANUAL, SEM REAPROVEITAMENTO</t>
  </si>
  <si>
    <t>Secção de escavação</t>
  </si>
  <si>
    <t>ESCAVAÇÃO MANUAL</t>
  </si>
  <si>
    <t>EMBASAMENTO PEDRA RACHÃO</t>
  </si>
  <si>
    <t>Secção de pedra</t>
  </si>
  <si>
    <t>EMBASAMENTO TIJOLO</t>
  </si>
  <si>
    <t>VERGAS DE PORTA</t>
  </si>
  <si>
    <t>VERGAS DE JANELA</t>
  </si>
  <si>
    <t>Sec de tijolo Fund</t>
  </si>
  <si>
    <t>Secção vigas</t>
  </si>
  <si>
    <t>VIGAS</t>
  </si>
  <si>
    <t>LAJE PRE-MOLD BETA 11 P/1KN/M2 VAOS 4,40M/INCL VIGOTAS TIJOLOS ARMADURA NEGATIVA CAPEAMENTO 3CM CONCRETO 20MPA ESCORAMENTO MATERIAL E MAO DE OBRA</t>
  </si>
  <si>
    <t>74141/001</t>
  </si>
  <si>
    <t>LAJE PRÉ MOLDADA</t>
  </si>
  <si>
    <t>ALVENARIA DE VEDAÇÃO</t>
  </si>
  <si>
    <t>H Alvenaria</t>
  </si>
  <si>
    <t>GRANITO</t>
  </si>
  <si>
    <t>REATERRO MANUAL APILOADO COM SOQUETE</t>
  </si>
  <si>
    <t>H Reaterro de cx</t>
  </si>
  <si>
    <t>REATERRO DE CAIXA</t>
  </si>
  <si>
    <t>LASTRO DE CONCRETO</t>
  </si>
  <si>
    <t>H Lastro concreto</t>
  </si>
  <si>
    <t>MASSA PLASTICA PARA MARMORE/GRANITO</t>
  </si>
  <si>
    <t>KG</t>
  </si>
  <si>
    <t>GRANITO PARA BANCADA, POLIDO, TIPO ANDORINHA/ QUARTZ/ CASTELO/ CORUMBA OU OUTROS EQUIVALENTES DA REGIAO, E= *2,5* CM</t>
  </si>
  <si>
    <t>M2</t>
  </si>
  <si>
    <t>BUCHA DE NYLON SEM ABA S10, COM PARAFUSO DE 6,10 X 65 MM EM ACO ZINCADO COM ROSCA SOBERBA, CABECA CHATA E FENDA PHILLIPS</t>
  </si>
  <si>
    <t>UN</t>
  </si>
  <si>
    <t>REJUNTE EPOXI BRANCO</t>
  </si>
  <si>
    <t>MARMORISTA/GRANITEIRO COM ENCARGOS COMPLEMENTARES</t>
  </si>
  <si>
    <t>TORNEIRA CROMADA LONGA, DE PAREDE, 1/2" OU 3/4", PARA PIA DE COZINHA, PADRÃO POPULAR - FORNECIMENTO E INSTALAÇÃO</t>
  </si>
  <si>
    <t>BANCADA DE GRANITO CINZA POLIDO 186 X 60 CM, COM CUBA DE EMBUTIR DE AÇO INOXIDÁVEL MÉDIA, VÁLVULA AMERICANA EM METAL CROMADO, SIFÃO FLEXÍVEL EM PVC,  TORNEIRA CROMADA LONGA DE PAREDE, 1/2 OU 3/4, PARAPIA DE COZINHA, PADRÃO POPULAR- FORNEC. E INSTAL  - UND</t>
  </si>
  <si>
    <t>TORNEIRA CROMADA DE MESA, 1/2" OU 3/4", PARA LAVATÓRIO, PADRÃO POPULAR FORNECIMENTO E INSTALAÇÃO</t>
  </si>
  <si>
    <t>CUBA DE EMBUTIR OVAL EM LOUÇA BRANCA, 35 X 50CM OU EQUIVALENTE, INCLUSO VÁLVULA EM METAL CROMADO E SIFÃO FLEXÍVEL EM PVC - FORNECIMENTO E INSTALAÇÃO</t>
  </si>
  <si>
    <t>ENGATE FLEXÍVEL EM PLÁSTICO BRANCO, 1/2" X 30CM - FORNECIMENTO E INSTALAÇÃO</t>
  </si>
  <si>
    <t>BANCADA GRANITO CINZA POLIDO 1,24 X 0,55M, INCL. CUBA DE EMBUTIR OVAL LOUÇA BRANCA 35 X 50CM, VÁLVULA METAL CROMADO, SIFÃO FLEXÍVEL PVC, ENGATE 30CM FLEXÍVEL PLÁSTICO E TORNEIRA CROMADA DE MESA, PADRÃO POPULAR - FORNEC. E INSTALAÇÃO. - UND</t>
  </si>
  <si>
    <t>FABRICAÇÃO E INSTALAÇÃO DE ESTRUTURA PONTALETADA DE MADEIRA NÃO APARELHADA PARA TELHADOS COM ATÉ 2 ÁGUAS E PARA TELHA ONDULADA DE FIBROCIMENTO, METÁLICA, PLÁSTICA OU TERMOACÚSTICA, INCLUSO TRANSPORTE VERTICAL.</t>
  </si>
  <si>
    <t>TELHAMENTO COM TELHA ONDULADA DE FIBROCIMENTO E = 6 MM, COM RECOBRIMENTO LATERAL DE 1/4 DE ONDA PARA TELHADO COM INCLINAÇÃO MAIOR QUE 10°, COM ATÉ 2 ÁGUAS, INCLUSO IÇAMENTO.</t>
  </si>
  <si>
    <t>RUFO EM CHAPA DE AÇO GALVANIZADO NÚMERO 24, CORTE DE 25 CM, INCLUSO TRANSPORTE VERTICAL</t>
  </si>
  <si>
    <t>CALHA EM CHAPA DE AÇO GALVANIZADO NÚMERO 24, DESENVOLVIMENTO DE 33 CM, INCLUSO TRANSPORTE VERTICAL.</t>
  </si>
  <si>
    <t>ÁREA DE COBERTA</t>
  </si>
  <si>
    <t>RUFO</t>
  </si>
  <si>
    <t>CALHA</t>
  </si>
  <si>
    <t>KIT DE PORTA DE MADEIRA PARA PINTURA, SEMI-OCA (LEVE OU MÉDIA), PADRÃO MÉDIO, 80X210CM, ESPESSURA DE 3,5CM, ITENS INCLUSOS: DOBRADIÇAS, MONTAGEM E INSTALAÇÃO DO BATENTE, FECHADURA COM EXECUÇÃO DO FURO - FORNECIMENTO E INSTALAÇÃO (P1)</t>
  </si>
  <si>
    <t>JANELA DE ALUMÍNIO MAXIM-AR, FIXAÇÃO COM ARGAMASSA, COM VIDROS, PADRONIZADA - (J1)</t>
  </si>
  <si>
    <t>JANELA DE ALUMÍNIO DE CORRER, 2 FOLHAS, FIXAÇÃO COM ARGAMASSA, COM VIDROS, PADRONIZADA</t>
  </si>
  <si>
    <t>ESQUADRIA</t>
  </si>
  <si>
    <t>P1</t>
  </si>
  <si>
    <t>P2</t>
  </si>
  <si>
    <t>P3</t>
  </si>
  <si>
    <t>P4</t>
  </si>
  <si>
    <t>P5</t>
  </si>
  <si>
    <t>P6</t>
  </si>
  <si>
    <t>J1</t>
  </si>
  <si>
    <t>J2</t>
  </si>
  <si>
    <t>J3</t>
  </si>
  <si>
    <t>J4</t>
  </si>
  <si>
    <t>J5</t>
  </si>
  <si>
    <t>J6</t>
  </si>
  <si>
    <t>J7</t>
  </si>
  <si>
    <t>B</t>
  </si>
  <si>
    <t>QTDE</t>
  </si>
  <si>
    <t>CORRIMAO EM TUBO ACO GALVANIZADO 3/4" COM BRACADEIRA</t>
  </si>
  <si>
    <t>EMBOÇO</t>
  </si>
  <si>
    <t>H Emboço</t>
  </si>
  <si>
    <t>REBOCO EXTERNO</t>
  </si>
  <si>
    <t>H REBOCO EXTERNO</t>
  </si>
  <si>
    <t>CIRC 02 - REFORMA</t>
  </si>
  <si>
    <t>PONTO DE CONSUMO TERMINAL DE ÁGUA FRIA (SUBRAMAL) COM TUBULAÇÃO DE PVC, DN 25 MM, INSTALADO EM RAMAL DE ÁGUA, INCLUSOS RASGO E CHUMBAMENTO EM ALVENARIA.</t>
  </si>
  <si>
    <t>PONTO DE ESGOTO 40 MM</t>
  </si>
  <si>
    <t>PONTO DE ESGOTO 50 MM</t>
  </si>
  <si>
    <t>PONTO DE ESGOTO 100 MM</t>
  </si>
  <si>
    <t>CAIXA SIFONADA 150X150X50 MM</t>
  </si>
  <si>
    <t>PASTA LUBRIFICANTE PARA TUBOS E CONEXOES COM JUNTA ELASTICA (USO EM PVC, ACO, POLIETILENO E OUTROS) ( DE *400* G)</t>
  </si>
  <si>
    <t>JOELHO PVC, SOLDAVEL, BB, 45 GRAUS, DN 40 MM, PARA ESGOTO PREDIAL</t>
  </si>
  <si>
    <t>JOELHO PVC, SOLDAVEL, BB, 90 GRAUS, DN 40 MM, PARA ESGOTO PREDIAL</t>
  </si>
  <si>
    <t>LIXA EM FOLHA PARA PAREDE OU MADEIRA, NUMERO 120 (COR VERMELHA)</t>
  </si>
  <si>
    <t>TUBO PVC SERIE NORMAL, DN 40 MM, PARA ESGOTO PREDIAL (NBR 5688)</t>
  </si>
  <si>
    <t>ENCANADOR OU BOMBEIRO HIDRÁULICO COM ENCARGOS COMPLEMENTARES</t>
  </si>
  <si>
    <t>JOELHO PVC, SOLDAVEL, PB, 45 GRAUS, DN 50 MM, PARA ESGOTO PREDIAL</t>
  </si>
  <si>
    <t>TE SANITARIO, PVC, DN 50 X 50 MM, SERIE NORMAL, PARA ESGOTO PREDIAL</t>
  </si>
  <si>
    <t>TUBO PVC SERIE NORMAL, DN 50 MM, PARA ESGOTO PREDIAL (NBR 5688)</t>
  </si>
  <si>
    <t>JOELHO PVC, SOLDAVEL, PB, 90 GRAUS, DN 100 MM, PARA ESGOTO PREDIAL</t>
  </si>
  <si>
    <t>TUBO PVC SERIE NORMAL, DN 100 MM, PARA ESGOTO PREDIAL (NBR 5688)</t>
  </si>
  <si>
    <t>JUNCAO DE REDUCAO INVERTIDA, PVC SOLDAVEL, 100 X 50 MM, SERIE NORMAL PARA ESGOTO PREDIAL</t>
  </si>
  <si>
    <t>LIGAÇÃO PREDIAL DE ÁGUA</t>
  </si>
  <si>
    <t>KIT CAVALETE PARA MEDIÇÃO DE ÁGUA - ENTRADA INDIVIDUALIZADA, EM PVC DN 25, FORNECIMENTO E INSTALAÇÃO</t>
  </si>
  <si>
    <t>CAIXA EM CONCRETO PRÉ-MOLDADO PARA ABRIGO DE HIDRÔMETRO, FORNECIMENTO E INSTALAÇÃO</t>
  </si>
  <si>
    <t>HIDRÔMETRO DN 25 (¾ ), 5,0 M³/H FORNECIMENTO E INSTALAÇÃO</t>
  </si>
  <si>
    <t>INSTALAÇÃO DE TUBOS DE PVC, SOLDÁVEL, ÁGUA FRIA, DN 25 MM (INSTALADO EM RAMAL, SUB-RAMAL, RAMAL DE DISTRIBUIÇÃO OU PRUMADA), INCLUSIVE CONEXÕES, CORTES E FIXAÇÕES, PARA PRÉDIOS</t>
  </si>
  <si>
    <t>PONTO DE ESGOTO 50 MM (PIAS E TANQUES)</t>
  </si>
  <si>
    <t>PONTO DE ESGOTO 50 MM (VENTILAÇÃO)</t>
  </si>
  <si>
    <t>COMPOSIÇÃO - 10</t>
  </si>
  <si>
    <t>COMPOSIÇÃO - 5</t>
  </si>
  <si>
    <t>COMPOSIÇÃO - 11</t>
  </si>
  <si>
    <t>PONTO DE ESGOTO 100 MM (ÁGUAS PLUVIAIS)</t>
  </si>
  <si>
    <t>PONTO DE ESGOTO 100 MM (VASO SANITÁRIO)</t>
  </si>
  <si>
    <t>CAIXA DE GORDURA PEQUENA</t>
  </si>
  <si>
    <t>CAIXA DE INSPEÇÃO EM CONCRETO PRÉ-MOLDADO DN 60CM COM TAMPA H= 60CM - FORNECIMENTO E INSTALACAO</t>
  </si>
  <si>
    <t>CAIXA D'AGUA EM POLIETILENO 2000 LITROS, COM TAMPA</t>
  </si>
  <si>
    <t>REGISTRO DE ESFERA, PVC, SOLDÁVEL, DN 32 MM, INSTALADO EM RESERVAÇÃO DE ÁGUA, FORNECIMENTO E INSTALAÇÃO</t>
  </si>
  <si>
    <t>REGISTRO DE ESFERA, PVC, SOLDÁVEL, DN 40 MM, INSTALADO EM RESERVAÇÃO DE ÁGUA, FORNECIMENTO E INSTALAÇÃO</t>
  </si>
  <si>
    <t>REGISTRO DE ESFERA, PVC, SOLDÁVEL, DN 50 MM, INSTALADO EM RESERVAÇÃO DE ÁGUA, FORNECIMENTO E INSTALAÇÃO</t>
  </si>
  <si>
    <t>REGISTRO DE ESFERA, PVC, SOLDÁVEL, DN 60 MM, INSTALADO EM RESERVAÇÃO DE ÁGUA, FORNECIMENTO E INSTALAÇÃO</t>
  </si>
  <si>
    <t>ADAPTADOR COM FLANGE E ANEL DE VEDAÇÃO, PVC, SOLDÁVEL, DN 32 MM X 1, FORNECIMENTO E INSTALAÇÃO</t>
  </si>
  <si>
    <t>ADAPTADOR COM FLANGE E ANEL DE VEDAÇÃO, PVC, SOLDÁVEL, DN 40 MM X 1, FORNECIMENTO E INSTALAÇÃO</t>
  </si>
  <si>
    <t>ADAPTADOR COM FLANGE E ANEL DE VEDAÇÃO, PVC, SOLDÁVEL, DN 50 MM X 1, FORNECIMENTO E INSTALAÇÃO</t>
  </si>
  <si>
    <t>ADAPTADOR COM FLANGE E ANEL DE VEDAÇÃO, PVC, SOLDÁVEL, DN 60 MM X 1, FORNECIMENTO E INSTALAÇÃO</t>
  </si>
  <si>
    <t>JOELHO 90 GRAUS, PVC, SOLDÁVEL, DN 32MM, INSTALADO EM RAMAL DE DISTRIBUIÇÃO DE ÁGUA - FORNECIMENTO E INSTALAÇÃO</t>
  </si>
  <si>
    <t>JOELHO 90 GRAUS, PVC, SOLDÁVEL, DN 40MM, INSTALADO EM RAMAL DE DISTRIBUIÇÃO DE ÁGUA - FORNECIMENTO E INSTALAÇÃO</t>
  </si>
  <si>
    <t>JOELHO 90 GRAUS, PVC, SOLDÁVEL, DN 50MM, INSTALADO EM RAMAL DE DISTRIBUIÇÃO DE ÁGUA - FORNECIMENTO E INSTALAÇÃO</t>
  </si>
  <si>
    <t>JOELHO 90 GRAUS, PVC, SOLDÁVEL, DN 60MM, INSTALADO EM RAMAL DE DISTRIBUIÇÃO DE ÁGUA - FORNECIMENTO E INSTALAÇÃO</t>
  </si>
  <si>
    <t>TE, PVC, SOLDÁVEL, DN 40MM, INSTALADO EM PRUMADA DE ÁGUA - FORNECIMENTO E INSTALAÇÃO</t>
  </si>
  <si>
    <t>TORNEIRA DE BÓIA REAL, ROSCÁVEL, 1", FORNECIDA E INSTALADA EM RESERVAÇÃO DE ÁGUA.</t>
  </si>
  <si>
    <t>CONJUNTO DE CAIXAS D'ÁGUA 2X2000L</t>
  </si>
  <si>
    <t>CISTERNA 6.000,00 LITROS</t>
  </si>
  <si>
    <t>M3</t>
  </si>
  <si>
    <t>ARMAÇÃO DE PILAR OU VIGA DE UMA ESTRUTURA CONVENCIONAL DE CONCRETO ARMADO EM UM EDIFÍCIO DE MÚLTIPLOS PAVIMENTOS UTILIZANDO AÇO CA-50 DE 6,3 MM</t>
  </si>
  <si>
    <t>ARMAÇÃO DE LAJE DE UMA ESTRUTURA CONVENCIONAL DE CONCRETO ARMADO - PISO/ FUNDAÇÃO</t>
  </si>
  <si>
    <t>ESCAVACAO MECANICA, A CEU ABERTO, EM MATERIAL DE 1A CATEGORIA, COM ESCAVADEIRA HIDRAULICA</t>
  </si>
  <si>
    <t>CONCRETO FCK = 25MPA, TRAÇO 1:2,3:2,7 (CIMENTO/ AREIA MÉDIA/ BRITA 1) - PREPARO MECÂNICO COM BETONEIRA 400 L</t>
  </si>
  <si>
    <t>ALVENARIA DE VEDAÇÃO DE BLOCOS CERÂMICOS FURADOS NA VERTICAL DE 19X19X39CM (ESPESSURA 19CM)</t>
  </si>
  <si>
    <t/>
  </si>
  <si>
    <t>'</t>
  </si>
  <si>
    <t>IMPERMEABILIZAÇÃO DE SUPERFÍCIE COM MANTA ASFÁLTICA, UMA CAMADA, INCLUSIVE APLICAÇÃO DE PRIMER ASFÁLTICO, E=3MM.</t>
  </si>
  <si>
    <t>LAJE PRE-MOLDADA P/PISO, SOBRECARGA 200KG/M2, VAOS ATE 3,50M/E=8CM, C/LAJOTAS E CAP.C/CONC FCK=20MPA, 4CM, INTER-EIXO 38CM, C/ESCORAMENTO (REAPR.3X) E FERRAGEM NEGATIVA</t>
  </si>
  <si>
    <t>74202/002</t>
  </si>
  <si>
    <t>BOMBA RECALQUE D'AGUA TRIFASICA 0,5 HP</t>
  </si>
  <si>
    <t>CISTERNA - 6.000,00 LITROS</t>
  </si>
  <si>
    <t>VÁLVULA DE PÉ COM CRIVO Ø 25MM (1") - FORNECIMENTO E INSTALAÇÃO</t>
  </si>
  <si>
    <t>73796/002</t>
  </si>
  <si>
    <t>INSTALAÇÃO DE TUBOS DE PVC, SOLDÁVEL, ÁGUA FRIA, DN 32 MM (INSTALADO EM RAMAL, SUB-RAMAL, RAMAL DE DISTRIBUIÇÃO OU PRUMADA), INCLUSIVE CONEXÕES, CORTES E FIXAÇÕES, PARA PRÉDIOS</t>
  </si>
  <si>
    <t>INSTALAÇÃO DE TUBOS DE PVC, SOLDÁVEL, ÁGUA FRIA, DN 40 MM (INSTALADO EM RAMAL, SUB-RAMAL, RAMAL DE DISTRIBUIÇÃO OU PRUMADA), INCLUSIVE CONEXÕES, CORTES E FIXAÇÕES, PARA PRÉDIOS</t>
  </si>
  <si>
    <t>INSTALAÇÃO DE TUBOS DE PVC, SOLDÁVEL, ÁGUA FRIA, DN 50 MM (INSTALADO EM RAMAL, SUB-RAMAL, RAMAL DE DISTRIBUIÇÃO OU PRUMADA), INCLUSIVE CONEXÕES, CORTES E FIXAÇÕES, PARA PRÉDIOS</t>
  </si>
  <si>
    <t>REGISTRO DE GAVETA BRUTO, LATÃO, ROSCÁVEL, 3/4", FORNECIDO E INSTALADO EM RAMAL DE ÁGUA</t>
  </si>
  <si>
    <t>KIT DE REGISTRO DE PRESSÃO BRUTO DE LATÃO ¾", INCLUSIVE CONEXÕES, ROSCÁVEL , INSTALADO EM RAMAL DE ÁGUA FRIA - FORNECIMENTO E INSTALAÇÃO</t>
  </si>
  <si>
    <t>SERVIÇO DE INST. TUBO PVC, SÉRIE N, ESGOTO PREDIAL, 100 MM (INST. RAMAL DESCARGA, RAMAL DE ESG. SANIT., PRUMADA ESGSANIT., VENTILAÇÃO OU SUB-COLETOR AÉREO), INCL. CONEXÕES E CORTES, FIXAÇÕES, P/ PRÉDIOS</t>
  </si>
  <si>
    <t>BANCADA DE GRANITO CINZA POLIDO 400 X 60 CM, COM 2 CUBAS DE EMBUTIR DE AÇO INOXIDÁVEL MÉDIA, VÁLVULA AMERICANA EM METAL CROMADO, SIFÃO FLEXÍVEL EM PVC,  TORNEIRA CROMADA LONGA DE PAREDE, 1/2 OU 3/4, PARAPIA DE COZINHA, PADRÃO POPULAR- FORNEC. E INSTAL  - UND</t>
  </si>
  <si>
    <t>BANCADA DE GRANITO CINZA POLIDO 400 X 60 CM, COM  2 CUBAS DE EMBUTIR DE AÇO INOXIDÁVEL MÉDIA, VÁLVULA AMERICANA EM METAL CROMADO, SIFÃO FLEXÍVEL EM PVC,  TORNEIRA CROMADA LONGA DE PAREDE, 1/2 OU 3/4, PARAPIA DE COZINHA, PADRÃO POPULAR- FORNEC. E INSTAL.</t>
  </si>
  <si>
    <t>TANQUE ACO INOXIDAVEL (ACO 304) COM ESFREGADOR E VALVULA, DE *50 X 40 X 22* CM</t>
  </si>
  <si>
    <t>PARAFUSO NIQUELADO COM ACABAMENTO CROMADO PARA FIXAR PECA SANITARIA, INCLUIPORCA CEGA, ARRUELA E BUCHA DE NYLON TAMANHO S-10</t>
  </si>
  <si>
    <t>SIFAO PLASTICO EXTENSIVEL UNIVERSAL, TIPO COPO</t>
  </si>
  <si>
    <t>FITA VEDA ROSCA EM ROLOS DE 18 MM X 10 M (L X C)</t>
  </si>
  <si>
    <t>VALVULA EM METAL CROMADO PARA TANQUE, 1.1/2 " SEM LADRAO</t>
  </si>
  <si>
    <t>TORNEIRA CROMADA CURTA SEM BICO PARA USO GERAL 1/2 " OU 3/4 "</t>
  </si>
  <si>
    <t>TANQUE ACO INOXIDAVEL (ACO 304) COM ESFREGADOR E VALVULA, DE *50 X 40 X 22* CM, INCLUSO SIFÃO VAÁLVULA E TORNEIRA CROMADA</t>
  </si>
  <si>
    <t xml:space="preserve">TORNEIRA CROMADA COM BICO PARA JARDIM/TANQUE 1/2 " OU 3/4 " </t>
  </si>
  <si>
    <t>TORNEIRA CROMADA COM BICO PARA JARDIM/TANQUE 1/2 " OU 3/4 "</t>
  </si>
  <si>
    <t>COMPOSIÇÃO - 12</t>
  </si>
  <si>
    <t>CHUVEIRO ELETRICO COMUM CORPO PLASTICO TIPO DUCHA, FORNECIMENTO E INSTALACAO</t>
  </si>
  <si>
    <t>BARRA DE APOIO ANGULAR, 60 CM, EM ACO INOX POLIDO, DIAMETRO MINIMO 3 CM</t>
  </si>
  <si>
    <t>PEDREIRO COM ENCARGOS COMPLEMENTARES</t>
  </si>
  <si>
    <t>74131/004</t>
  </si>
  <si>
    <t>FITA ACO INOX PARA CINTAR POSTE, L = 19 MM, E = 0,5 MM (ROLO DE 30M)</t>
  </si>
  <si>
    <t>0,1333333</t>
  </si>
  <si>
    <t>CINTA CIRCULAR EM ACO GALVANIZADO DE 150 MM DE DIAMETRO PARA FIXACAO DE CAIXA MEDICAO, INCLUI PARAFUSOS E PORCAS</t>
  </si>
  <si>
    <t>2,0000000</t>
  </si>
  <si>
    <t>CABO DE COBRE NU 16 MM2 MEIO-DURO</t>
  </si>
  <si>
    <t>3,0000000</t>
  </si>
  <si>
    <t>FIO DE COBRE, SOLIDO, CLASSE 1, ISOLACAO EM PVC/A, ANTICHAMA BWF-B, 450/750V, SECAO NOMINAL 10 MM2</t>
  </si>
  <si>
    <t>27,0000000</t>
  </si>
  <si>
    <t>CAIXA INTERNA DE MEDICAO PARA 1 MEDIDOR TRIFASICO, COM VISOR, EM CHAPA DE ACO 18 USG (PADRAO DA CONCESSIONARIA LOCAL)</t>
  </si>
  <si>
    <t>1,0000000</t>
  </si>
  <si>
    <t>ARMACAO VERTICAL COM HASTE E CONTRA-PINO, EM CHAPA DE ACO GALVANIZADO 3/16", COM 4 ESTRIBOS E 4 ISOLADORES</t>
  </si>
  <si>
    <t>CONECTOR METALICO TIPO PARAFUSO FENDIDO (SPLIT BOLT), PARA CABOS ATE 16 MM2</t>
  </si>
  <si>
    <t>8,0000000</t>
  </si>
  <si>
    <t>LUVA EM PVC RIGIDO ROSCAVEL, DE 1", PARA ELETRODUTO</t>
  </si>
  <si>
    <t>4,0000000</t>
  </si>
  <si>
    <t>DISJUNTOR TIPO NEMA, TRIPOLAR 10  ATE  50A, TENSAO MAXIMA DE 415 V</t>
  </si>
  <si>
    <t>ELETRODUTO DE PVC RIGIDO ROSCAVEL DE 1 ", SEM LUVA</t>
  </si>
  <si>
    <t>PARAFUSO DE FERRO POLIDO, SEXTAVADO, COM ROSCA PARCIAL, DIAMETRO 5/8", COMPRIMENTO 6", COM PORCA E ARRUELA DE PRESSAO MEDIA</t>
  </si>
  <si>
    <t>ARRUELA REDONDA DE LATAO, DIAMETRO EXTERNO = 34 MM, ESPESSURA = 2,5 MM, DIAMETRO DO FURO = 17 MM</t>
  </si>
  <si>
    <t>CURVA 180 GRAUS, DE PVC RIGIDO ROSCAVEL, DE 3/4", PARA ELETRODUTO</t>
  </si>
  <si>
    <t>BUCHA EM ALUMINIO, COM ROSCA, DE 1", PARA ELETRODUTO</t>
  </si>
  <si>
    <t>ARRUELA EM ALUMINIO, COM ROSCA, DE 1", PARA ELETRODUTO</t>
  </si>
  <si>
    <t>ELETRICISTA COM ENCARGOS COMPLEMENTARES</t>
  </si>
  <si>
    <t>HASTE DE ATERRAMENTO EM ACO COM 3,00 M DE COMPRIMENTO E DN = 5/8", REVESTIDA COM BAIXA CAMADA DE COBRE, SEM CONECTOR</t>
  </si>
  <si>
    <t>ENTRADA DE ENERGIA ELETRICA AEREA TRIFASICA 40A EM POSTE DE CONCRETO</t>
  </si>
  <si>
    <t>QUADRO DE DISTRIBUICAO DE ENERGIA DE EMBUTIR, EM CHAPA METALICA, PARA 18 DISJUNTORES TERMOMAGNETICOS MONOPOLARES, COM BARRAMENTO TRIFASICO E NEUTRO, FORNECIMENTO E INSTALACAO</t>
  </si>
  <si>
    <t>DISJUNTOR MONOPOLAR TIPO DIN, CORRENTE NOMINAL DE 16A - FORNECIMENTO E INSTALAÇÃO</t>
  </si>
  <si>
    <t>DISJUNTOR MONOPOLAR TIPO DIN, CORRENTE NOMINAL DE 25A - FORNECIMENTO E INSTALAÇÃO.</t>
  </si>
  <si>
    <t>DISJUNTOR TRIPOLAR TIPO DIN, CORRENTE NOMINAL DE 40A - FORNECIMENTO E INSTALAÇÃO.</t>
  </si>
  <si>
    <t>DISJUNTOR TRIPOLAR TIPO DIN, CORRENTE NOMINAL DE 50A - FORNECIMENTO E INSTALAÇÃO.</t>
  </si>
  <si>
    <t>PONTO DE ILUMINAÇÃO RESIDENCIAL INCLUINDO INTERRUPTOR SIMPLES, CAIXA ELÉTRICA, ELETRODUTO, CABO, RASGO, QUEBRA E CHUMBAMENTO (EXCLUINDO LUMINÁRIA E LÂMPADA)</t>
  </si>
  <si>
    <t>LUMINÁRIA ARANDELA TIPO MEIA-LUA, PARA 1 LÂMPADA LED - FORNECIMENTO E INSTALAÇÃO</t>
  </si>
  <si>
    <t>LUMINÁRIA TIPO CALHA, DE SOBREPOR, COM 2 LÂMPADAS TUBULARES DE 18 W - FORNECIMENTO E INSTALAÇÃO.</t>
  </si>
  <si>
    <t>PONTO DE UTILIZAÇÃO DE EQUIPAMENTOS ELÉTRICOS, RESIDENCIAL, INCLUINDO SUPORTE E PLACA, CAIXA ELÉTRICA, ELETRODUTO, CABO, RASGO, QUEBRA E CHUMBAMENTO - AR CONDICIONADO</t>
  </si>
  <si>
    <t>APLICAÇÃO MANUAL DE FUNDO SELADOR ACRÍLICO EM PANOS COM PRESENÇA DE VÃOS DE EDIFÍCIOS DE MÚLTIPLOS PAVIMENTOS</t>
  </si>
  <si>
    <t>APLICAÇÃO E LIXAMENTO DE MASSA LÁTEX EM PAREDES, DUAS DEMÃOS</t>
  </si>
  <si>
    <t>APLICAÇÃO MANUAL DE PINTURA COM ESMALTE SINTÉTICO BRILHOSO, DUAS DEMÃO - PAREDES INTERNAS E EXTERNAS</t>
  </si>
  <si>
    <t>PINTOR COM ENCARGOS COMPLEMENTARES</t>
  </si>
  <si>
    <t>TINTA ESMALTE SINTETICO PREMIUM BRILHANTE</t>
  </si>
  <si>
    <t>PINTURA INTERNA</t>
  </si>
  <si>
    <t>H PINT INTERNA</t>
  </si>
  <si>
    <t>PLANTIO DE GRAMA EM PLACAS - ESMERALDA</t>
  </si>
  <si>
    <t>GRAMA</t>
  </si>
  <si>
    <t>PREDIO NOVO</t>
  </si>
  <si>
    <t>GRAMADO</t>
  </si>
  <si>
    <t>COBOGO DE CONCRETO (ELEMENTO VAZADO), 7X50X50CM, ASSENTADO COM ARGAMASSA TRACO 1:4 (CIMENTO E AREIA)</t>
  </si>
  <si>
    <t>73937/001</t>
  </si>
  <si>
    <t>FORRO DE PVC</t>
  </si>
  <si>
    <t>FORRO EM RÉGUAS DE PVC, FRISADO, PARA AMBIENTES RESIDENCIAIS, INCLUSIVE ESTRUTURA DE FIXAÇÃO</t>
  </si>
  <si>
    <t>PERGOLADO DE CONCRETO</t>
  </si>
  <si>
    <t>EXECUÇÃO DE PASSEIO (CALÇADA) OU PISO DE CONCRETO COM CONCRETO MOLDADO IN LOCO, FEITO EM OBRA, ACABAMENTO CONVENCIONAL, NÃO ARMADO</t>
  </si>
  <si>
    <t>LASTRO DE CONCRETO, PREPARO MECÂNICO, INCLUSOS ADITIVO IMPERMEABILIZANTE, LANÇAMENTO E ADENSAMENTO - E=10CM</t>
  </si>
  <si>
    <t>BANCADA DE GRANITO CINZA POLIDO 176 X 60 CM, COM CUBA DE EMBUTIR DE AÇO INOXIDÁVEL MÉDIA, VÁLVULA AMERICANA EM METAL CROMADO, SIFÃO FLEXÍVEL EM PVC,  TORNEIRA CROMADA LONGA DE PAREDE, 1/2 OU 3/4, PARAPIA DE COZINHA, PADRÃO POPULAR- FORNEC. E INSTAL  - UND</t>
  </si>
  <si>
    <t>BANCADA DE GRANITO CINZA POLIDO 300 X 60 CM, COM  1 CUBAS DE EMBUTIR DE AÇO INOXIDÁVEL MÉDIA E 1 TANQUE EM AÇO INOX, VÁLVULA AMERICANA EM METAL CROMADO, SIFÃO FLEXÍVEL EM PVC,  TORNEIRA CROMADA LONGA DE PAREDE, 1/2 OU 3/4, PARAPIA DE COZINHA, PADRÃO POPULAR- FORNEC. E INSTAL.</t>
  </si>
  <si>
    <t>BANCADA DE GRANITO CINZA POLIDO 304 X 60 CM, COM CUBA DE EMBUTIR DE AÇO INOXIDÁVEL MÉDIA, VÁLVULA AMERICANA EM METAL CROMADO, SIFÃO FLEXÍVEL EM PVC,  TORNEIRA CROMADA LONGA DE PAREDE, 1/2 OU 3/4, PARAPIA DE COZINHA, PADRÃO POPULAR- FORNEC. E INSTAL  - UND</t>
  </si>
  <si>
    <t>BANCADA DE GRANITO CINZA POLIDO 160 X 60 CM, COM 1 TANQUE EM AÇO INOX, VÁLVULA AMERICANA EM METAL CROMADO, SIFÃO FLEXÍVEL EM PVC,  TORNEIRA CROMADA LONGA DE PAREDE, 1/2 OU 3/4, PARAPIA DE COZINHA, PADRÃO POPULAR- FORNEC. E INSTAL.</t>
  </si>
  <si>
    <t>BANCADA DE GRANITO CINZA POLIDO 104 X 60 CM, COM CUBA DE EMBUTIR DE AÇO INOXIDÁVEL MÉDIA, VÁLVULA AMERICANA EM METAL CROMADO, SIFÃO FLEXÍVEL EM PVC,  TORNEIRA CROMADA LONGA DE PAREDE, 1/2 OU 3/4, PARAPIA DE COZINHA, PADRÃO POPULAR- FORNEC. E INSTAL  - UND</t>
  </si>
  <si>
    <t xml:space="preserve">BANCADA DE GRANITO CINZA POLIDO </t>
  </si>
  <si>
    <t>ESTRUTURA METÁLICA PARA COBERTA</t>
  </si>
  <si>
    <t>TELHAMENTO COM TELHA DE AÇO/ALUMÍNIO E = 0,5 MM, COM ATÉ 2 ÁGUAS, INCLUSO IÇAMENTO</t>
  </si>
  <si>
    <t>PORTA DE CORRER DE ALUMÍNIO COM VIDRO, ESPESSURA DE 3,5CM, INCLUSO DOBRADIÇAS - FORNECIMENTO E INSTALAÇÃO.</t>
  </si>
  <si>
    <t>KIT DE PORTA DE MADEIRA PARA PINTURA, SEMI-OCA (LEVE OU MÉDIA), PADRÃO MÉDIO, 70X210CM, ESPESSURA DE 3,5CM, ITENS INCLUSOS: DOBRADIÇAS, MONTAGEM E .INSTALAÇÃO DO BATENTE, FECHADURA COM EXECUÇÃO DO FURO - FORNECIMENTO E INSTALAÇÃO</t>
  </si>
  <si>
    <t>KIT DE PORTA DE MADEIRA PARA PINTURA, SEMI-OCA (LEVE OU MÉDIA), PADRÃO MÉDIO, 90X210CM, ESPESSURA DE 3,5CM, ITENS INCLUSOS: DOBRADIÇAS, MONTAGEM E INSTALAÇÃO DO BATENTE, FECHADURA COM EXECUÇÃO DO FURO - FORNECIMENTO E INSTALAÇÃO.</t>
  </si>
  <si>
    <t>JANELA DE MADEIRA TIPO GUILHOTINA, DE ABRIR , INCLUSAS GUARNICOES</t>
  </si>
  <si>
    <t>JANELA DE MADEIRA TIPO VENEZIANA/VIDRO, DE ABRIR, INCLUSAS GUARNICOES</t>
  </si>
  <si>
    <t>PINTURA ESMALTE</t>
  </si>
  <si>
    <t>1 - REFORMA</t>
  </si>
  <si>
    <t>0 - PRELIMINARES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</si>
  <si>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</si>
  <si>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</si>
  <si>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</si>
  <si>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</si>
  <si>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</si>
  <si>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</si>
  <si>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</si>
  <si>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</si>
  <si>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</si>
  <si>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</si>
  <si>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TOTAL DO ITEM 1.1</t>
  </si>
  <si>
    <t>1.2.1</t>
  </si>
  <si>
    <t>1.2.2</t>
  </si>
  <si>
    <t>TOTAL DO ITEM 1.2</t>
  </si>
  <si>
    <t>1.3.1</t>
  </si>
  <si>
    <t>1.3.2</t>
  </si>
  <si>
    <t>1.3.3</t>
  </si>
  <si>
    <t>1.4.1</t>
  </si>
  <si>
    <t>1.4.2</t>
  </si>
  <si>
    <t>1.4.4</t>
  </si>
  <si>
    <t>1.4.5</t>
  </si>
  <si>
    <t>1.5</t>
  </si>
  <si>
    <t>1.5.1</t>
  </si>
  <si>
    <t>1.5.2</t>
  </si>
  <si>
    <t>1.5.3</t>
  </si>
  <si>
    <t>1.5.4</t>
  </si>
  <si>
    <t>TOTAL DO ITEM 1.4</t>
  </si>
  <si>
    <t>TOTAL DO ITEM 1.3</t>
  </si>
  <si>
    <t>TOTAL DO ITEM 1.5</t>
  </si>
  <si>
    <t>1.6</t>
  </si>
  <si>
    <t>1.6.1</t>
  </si>
  <si>
    <t>1.6.2</t>
  </si>
  <si>
    <t>1.6.3</t>
  </si>
  <si>
    <t>1.6.4</t>
  </si>
  <si>
    <t>TOTAL DO ITEM 1.6</t>
  </si>
  <si>
    <t>1.7</t>
  </si>
  <si>
    <t>1.7.1</t>
  </si>
  <si>
    <t>1.7.2</t>
  </si>
  <si>
    <t>1.7.3</t>
  </si>
  <si>
    <t>1.7.4</t>
  </si>
  <si>
    <t>1.8</t>
  </si>
  <si>
    <t>1.8.1</t>
  </si>
  <si>
    <t>1.8.2</t>
  </si>
  <si>
    <t>1.8.3</t>
  </si>
  <si>
    <t>1.8.4</t>
  </si>
  <si>
    <t>1.8.5</t>
  </si>
  <si>
    <t>TOTAL DO ITEM 1.7</t>
  </si>
  <si>
    <t>TOTAL DO ITEM 1.8</t>
  </si>
  <si>
    <t>1.9</t>
  </si>
  <si>
    <t>1.9.1</t>
  </si>
  <si>
    <t>TOTAL DO ITEM 1.9</t>
  </si>
  <si>
    <t>1.10</t>
  </si>
  <si>
    <t>1.10.1</t>
  </si>
  <si>
    <t>1.10.2</t>
  </si>
  <si>
    <t>1.10.3</t>
  </si>
  <si>
    <t>1.10.4</t>
  </si>
  <si>
    <t>1.10.5</t>
  </si>
  <si>
    <t>1.10.6</t>
  </si>
  <si>
    <t>1.10.7</t>
  </si>
  <si>
    <t>1.10.8</t>
  </si>
  <si>
    <t>1.10.9</t>
  </si>
  <si>
    <t>1.10.10</t>
  </si>
  <si>
    <t>TOTAL DO ITEM 1.10</t>
  </si>
  <si>
    <t>1.11.1</t>
  </si>
  <si>
    <t>1.11.2</t>
  </si>
  <si>
    <t>1.11.3</t>
  </si>
  <si>
    <t>1.11.4</t>
  </si>
  <si>
    <t>1.11.5</t>
  </si>
  <si>
    <t>TOTAL DO ITEM 1.11</t>
  </si>
  <si>
    <t>1.12</t>
  </si>
  <si>
    <t>1.12.1</t>
  </si>
  <si>
    <t>1.12.2</t>
  </si>
  <si>
    <t>1.12.3</t>
  </si>
  <si>
    <t>1.12.4</t>
  </si>
  <si>
    <t>1.12.5</t>
  </si>
  <si>
    <t>1.13</t>
  </si>
  <si>
    <t>1.13.1</t>
  </si>
  <si>
    <t>1.13.2</t>
  </si>
  <si>
    <t>1.13.3</t>
  </si>
  <si>
    <t>1.13.4</t>
  </si>
  <si>
    <t>1.13.5</t>
  </si>
  <si>
    <t>1.13.6</t>
  </si>
  <si>
    <t>TOTAL DO ITEM 1.13</t>
  </si>
  <si>
    <t>TOTAL DO ITEM 1.12</t>
  </si>
  <si>
    <t>1.14</t>
  </si>
  <si>
    <t>1.14.1</t>
  </si>
  <si>
    <t>1.14.2</t>
  </si>
  <si>
    <t>TOTAL DO ITEM 1.14</t>
  </si>
  <si>
    <t>2 - AMPLIAÇÃO</t>
  </si>
  <si>
    <t>LOCACAO CONVENCIONAL DE OBRA, ATRAVÉS DE GABARITO DE TABUAS CORRIDAS PONTALETADAS, COM REAPROVEITAMENTO DE 10 VEZES</t>
  </si>
  <si>
    <t>74077/002</t>
  </si>
  <si>
    <t>2.1.1</t>
  </si>
  <si>
    <t>2.1.2</t>
  </si>
  <si>
    <t>2.1.3</t>
  </si>
  <si>
    <t>TOTAL DO ITEM 2.1</t>
  </si>
  <si>
    <t>2.2.1</t>
  </si>
  <si>
    <t>2.2.2</t>
  </si>
  <si>
    <t>2.2.3</t>
  </si>
  <si>
    <t>TOTAL DO ITEM 2.2</t>
  </si>
  <si>
    <t>2.3.1</t>
  </si>
  <si>
    <t>2.3.2</t>
  </si>
  <si>
    <t>2.3.3</t>
  </si>
  <si>
    <t>2.3.4</t>
  </si>
  <si>
    <t>2.3.5</t>
  </si>
  <si>
    <t>TOTAL DO ITEM 2.3</t>
  </si>
  <si>
    <t>2.4.1</t>
  </si>
  <si>
    <t>2.4.2</t>
  </si>
  <si>
    <t>2.4.3</t>
  </si>
  <si>
    <t>2.4.4</t>
  </si>
  <si>
    <t>2.4.5</t>
  </si>
  <si>
    <t>2.4.6</t>
  </si>
  <si>
    <t>2.4.7</t>
  </si>
  <si>
    <t>2.4.8</t>
  </si>
  <si>
    <t>TOTAL DO ITEM 2.4</t>
  </si>
  <si>
    <t>2.5.1</t>
  </si>
  <si>
    <t>2.5.2</t>
  </si>
  <si>
    <t>2.5.3</t>
  </si>
  <si>
    <t>2.5.4</t>
  </si>
  <si>
    <t>2.5.5</t>
  </si>
  <si>
    <t>2.5.6</t>
  </si>
  <si>
    <t>2.5.7</t>
  </si>
  <si>
    <t>2.5.8</t>
  </si>
  <si>
    <t>TOTAL DO ITEM 2.5</t>
  </si>
  <si>
    <t>2.6.1</t>
  </si>
  <si>
    <t>2.6.2</t>
  </si>
  <si>
    <t>2.6.3</t>
  </si>
  <si>
    <t>2.6.4</t>
  </si>
  <si>
    <t>2.6.5</t>
  </si>
  <si>
    <t>2.6.6</t>
  </si>
  <si>
    <t>2.6.7</t>
  </si>
  <si>
    <t>2.6.8</t>
  </si>
  <si>
    <t>2.6.9</t>
  </si>
  <si>
    <t>TOTAL DO ITEM 2.6</t>
  </si>
  <si>
    <t>2.7.1</t>
  </si>
  <si>
    <t>2.7.2</t>
  </si>
  <si>
    <t>2.7.3</t>
  </si>
  <si>
    <t>2.7.4</t>
  </si>
  <si>
    <t>2.7.5</t>
  </si>
  <si>
    <t>TOTAL DO ITEM 2.7</t>
  </si>
  <si>
    <t>2.8</t>
  </si>
  <si>
    <t>2.8.1</t>
  </si>
  <si>
    <t>2.8.2</t>
  </si>
  <si>
    <t>TOTAL DO ITEM 2,8</t>
  </si>
  <si>
    <t>2.9</t>
  </si>
  <si>
    <t>2.9.1</t>
  </si>
  <si>
    <t>2.9.2</t>
  </si>
  <si>
    <t>2.9.3</t>
  </si>
  <si>
    <t>2.9.4</t>
  </si>
  <si>
    <t>2.9.5</t>
  </si>
  <si>
    <t>2.9.6</t>
  </si>
  <si>
    <t>2.9.7</t>
  </si>
  <si>
    <t>2.9.8</t>
  </si>
  <si>
    <t>2.9.9</t>
  </si>
  <si>
    <t>2.9.10</t>
  </si>
  <si>
    <t>2.9.11</t>
  </si>
  <si>
    <t>2.9.12</t>
  </si>
  <si>
    <t>2.9.13</t>
  </si>
  <si>
    <t>2.9.14</t>
  </si>
  <si>
    <t>2.9.15</t>
  </si>
  <si>
    <t>2.9.16</t>
  </si>
  <si>
    <t>2.9.17</t>
  </si>
  <si>
    <t>2.9.18</t>
  </si>
  <si>
    <t>2.9.19</t>
  </si>
  <si>
    <t>2.9.20</t>
  </si>
  <si>
    <t>2.9.21</t>
  </si>
  <si>
    <t>2.9.22</t>
  </si>
  <si>
    <t>2.9.23</t>
  </si>
  <si>
    <t>2.9.24</t>
  </si>
  <si>
    <t>TOTAL DO ITEM 2.9</t>
  </si>
  <si>
    <t>2.10</t>
  </si>
  <si>
    <t>2.10.1</t>
  </si>
  <si>
    <t>2.10.2</t>
  </si>
  <si>
    <t>2.10.3</t>
  </si>
  <si>
    <t>2.10.4</t>
  </si>
  <si>
    <t>2.10.5</t>
  </si>
  <si>
    <t>2.10.7</t>
  </si>
  <si>
    <t>2.10.8</t>
  </si>
  <si>
    <t>2.10.9</t>
  </si>
  <si>
    <t>2.10.10</t>
  </si>
  <si>
    <t>TOTAL DO ITEM 2.10</t>
  </si>
  <si>
    <t>2.11</t>
  </si>
  <si>
    <t>2.11.1</t>
  </si>
  <si>
    <t>2.11.2</t>
  </si>
  <si>
    <t>2.11.3</t>
  </si>
  <si>
    <t>2.11.4</t>
  </si>
  <si>
    <t>2.11.5</t>
  </si>
  <si>
    <t>2.11.6</t>
  </si>
  <si>
    <t>2.11.7</t>
  </si>
  <si>
    <t>2.11.8</t>
  </si>
  <si>
    <t>2.11.9</t>
  </si>
  <si>
    <t>2.11.10</t>
  </si>
  <si>
    <t>2.11.11</t>
  </si>
  <si>
    <t>2.11.12</t>
  </si>
  <si>
    <t>TOTAL DO ITEM 2.11</t>
  </si>
  <si>
    <t>2.12</t>
  </si>
  <si>
    <t>2.12.1</t>
  </si>
  <si>
    <t>2.12.2</t>
  </si>
  <si>
    <t>2.12.3</t>
  </si>
  <si>
    <t>2.12.4</t>
  </si>
  <si>
    <t>2.12.5</t>
  </si>
  <si>
    <t>2.12.6</t>
  </si>
  <si>
    <t>TOTAL DO ITEM 2.12</t>
  </si>
  <si>
    <t>2.13</t>
  </si>
  <si>
    <t>2.13.1</t>
  </si>
  <si>
    <t>2.13.2</t>
  </si>
  <si>
    <t xml:space="preserve">VALOR TOTAL DE AMPLIAÇÃO R$ </t>
  </si>
  <si>
    <t>COMPOSIÇÃO - 05</t>
  </si>
  <si>
    <t>COMPOSIÇÃO - 06</t>
  </si>
  <si>
    <t>COMPOSIÇÃO - 07</t>
  </si>
  <si>
    <t>COMPOSIÇÃO - 08</t>
  </si>
  <si>
    <t>COMPOSIÇÃO - 09</t>
  </si>
  <si>
    <t>COMPOSIÇÃO - 13</t>
  </si>
  <si>
    <t>COMPOSIÇÃO - 14</t>
  </si>
  <si>
    <t>COMPOSIÇÃO - 15</t>
  </si>
  <si>
    <t>COMPOSIÇÃO - 16</t>
  </si>
  <si>
    <t>COMPOSIÇÃO - 17</t>
  </si>
  <si>
    <t>COMPOSIÇÃO - 18</t>
  </si>
  <si>
    <t>COMPOSIÇÃO - 19</t>
  </si>
  <si>
    <t>COMPOSIÇÃO - 20</t>
  </si>
  <si>
    <t>COMPOSIÇÃO - 21</t>
  </si>
  <si>
    <t>COMPOSIÇÃO - 22</t>
  </si>
  <si>
    <t>COMPOSIÇÃO - 23</t>
  </si>
  <si>
    <t>COMPOSIÇÃO - 24</t>
  </si>
  <si>
    <t>COMPOSIÇÃO - 25</t>
  </si>
  <si>
    <t>COMPOSIÇÃO - 26</t>
  </si>
  <si>
    <t>TOTAL DO ITEM 0.1</t>
  </si>
  <si>
    <t>0.1</t>
  </si>
  <si>
    <t>0.1.1</t>
  </si>
  <si>
    <t>0.1.2</t>
  </si>
  <si>
    <t>0.1.3</t>
  </si>
  <si>
    <t>0.1.4</t>
  </si>
  <si>
    <t>COMPOSIÇÃO - 6</t>
  </si>
  <si>
    <t>COMPOSIÇÃO - 7</t>
  </si>
  <si>
    <t>COMPOSIÇÃO - 8</t>
  </si>
  <si>
    <t>COMPOSIÇÃO - 9</t>
  </si>
  <si>
    <t xml:space="preserve">VALOR TOTAL DA OBRA R$ </t>
  </si>
  <si>
    <t>OBRA:  REFORMA E AMPLIAÇÃO DA UNIDADE BÁSICA DE SAUDE DO POVOADO AMARGOSA</t>
  </si>
  <si>
    <t>LOCAL: POVOADO AMARGOSA - JACARÉ DOS HOMENS/AL</t>
  </si>
  <si>
    <t>1.11</t>
  </si>
  <si>
    <t>S</t>
  </si>
  <si>
    <t>180 DIAS</t>
  </si>
  <si>
    <t>150 DIAS</t>
  </si>
  <si>
    <t>120 DIAS</t>
  </si>
  <si>
    <t>1.6.5</t>
  </si>
  <si>
    <t>FABRICAÇÃO E INSTALAÇÃO DE TESOURA INTEIRA EM AÇO, VÃO DE 3 M, PARA TELHA ONDULADA DE FIBROCIMENTO, METÁLICA, PLÁSTICA OU TERMOACÚSTICA, INCLUSO IÇAMENTO</t>
  </si>
  <si>
    <t xml:space="preserve">TRAMA DE AÇO COMPOSTA POR TERÇAS PARA TELHADOS DE ATÉ 2 ÁGUAS PARA TELHA ONDULADA DE FIBROCIMENTO, METÁLICA, PLÁSTICA OU TERMOACÚSTICA, INCLUSO TRANSPORTE VERTICAL </t>
  </si>
  <si>
    <t>ASSENTAMENTO DE PEÇAS DE EUCALIPTO TRATADO, D19 A 22CM PARA CONFECÇÃO DE PERGOLADO</t>
  </si>
  <si>
    <t>09857/ORSE</t>
  </si>
  <si>
    <t>SUMIDOURO RETANGULAR, EM ALVENARIA COM BLOCOS DE CONCRETO, DIMENSÕES INTERNAS: 1,0 X 3,0 X 3,0 M, ÁREA DE INFILTRAÇÃO: 25 M² (PARA 10 CONTRIBUINTES</t>
  </si>
  <si>
    <t>COMPOSIÇÃO REPRESENTATIVA) EXECUÇÃO DE ESTRUTURAS DE CONCRETO ARMADO, PARA EDIFICAÇÃO HABITACIONAL UNIFAMILIAR TÉRREA (CASA EM EMPREENDIMENTOS), FCK = 25 MPA.</t>
  </si>
  <si>
    <t xml:space="preserve">
PLACA DE OBRA EM CHAPA DE AÇO GALVANIZADO</t>
  </si>
  <si>
    <t>742091/SINAPI</t>
  </si>
  <si>
    <t>FABRICAÇÃO E INSTALAÇÃO DE TESOURA INTEIRA EM AÇO, VÃO DE 4 M, PARA TELHA ONDULADA DE FIBROCIMENTO, METÁLICA, PLÁSTICA OU TERMOACÚSTICA, INCLUSO IÇAMENTO</t>
  </si>
  <si>
    <t>um</t>
  </si>
  <si>
    <t>EPI (ENCARGOS COMPLEMENTARES) - MENSALISTA</t>
  </si>
  <si>
    <t>MESTRE DE OBRAS (MENSALISTA)</t>
  </si>
  <si>
    <t>ENGENHEIRO CIVIL DE OBRA JUNIOR (MENSALISTA)</t>
  </si>
  <si>
    <t>POSTE DE CONCRETO DUPLO T H=9M CARGA NOMINAL 500KG INCLUSIVE ESCAVACAO, EXCLUSIVE TRANSPORTE - FORNECIMENTO E INSTALACAO</t>
  </si>
  <si>
    <t>COMPOSIÇÃO - 27</t>
  </si>
  <si>
    <t>SELANTE ELASTICO MONOCOMPONENTE A BASE DE POLIURETANO PARA JUNTAS DIVERSAS</t>
  </si>
  <si>
    <t xml:space="preserve">PORTA DE CORRER EM ALUMINIO, COM VIDRO, FECHADURA E PUXADOR EMBUTIDO, ACABAMENTO ANODIZADO NATURAL, SEM </t>
  </si>
  <si>
    <t>GUARNICAO/MOLDURA DE ACABAMENTO PARA ESQUADRIA DE ALUMINIO ANODIZADO NATURAL, PARA 1 FACE</t>
  </si>
  <si>
    <t>310ML</t>
  </si>
  <si>
    <t xml:space="preserve">SINAPI - FEVEREIRO/ 2019 </t>
  </si>
  <si>
    <t>DATA: 26/04/2019</t>
  </si>
  <si>
    <t>SINAPI - FEVEREIRO/ 2019</t>
  </si>
  <si>
    <t>TANQUE SÉPTICO RETANGULAR, EM ALVENARIA COM BLOCOS DE CONCRETO, DIMENSÕES INTERNAS: 1,2 X 2,4 X 1,6 M, VOLUME ÚTIL: 3456 L (PARA 13 CONTRIBUINTES)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</si>
</sst>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0.0%"/>
    <numFmt numFmtId="168" formatCode="#,##0.00_ ;[Red]\-#,##0.00\ "/>
    <numFmt numFmtId="169" formatCode="#,##0.00&quot; &quot;;&quot; (&quot;#,##0.00&quot;)&quot;;&quot; -&quot;#&quot; &quot;;@&quot; &quot;"/>
    <numFmt numFmtId="170" formatCode="_-* #,##0.0000_-;\-* #,##0.0000_-;_-* &quot;-&quot;????_-;_-@_-"/>
    <numFmt numFmtId="171" formatCode="0.0000000"/>
    <numFmt numFmtId="172" formatCode="[$€]#,##0.00_);[Red]\([$€]#,##0.00\)"/>
    <numFmt numFmtId="173" formatCode="_(&quot;R$ &quot;* #,##0.00_);_(&quot;R$ &quot;* \(#,##0.00\);_(&quot;R$ &quot;* &quot;-&quot;??_);_(@_)"/>
    <numFmt numFmtId="174" formatCode="_(* #,##0.00_);_(* \(#,##0.00\);_(* \-??_);_(@_)"/>
    <numFmt numFmtId="175" formatCode="_ * #,##0.00_ ;_ * \-#,##0.00_ ;_ * &quot;-&quot;??_ ;_ @_ "/>
  </numFmts>
  <fonts count="5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Courier New"/>
      <family val="3"/>
    </font>
    <font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10"/>
      <color indexed="8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indexed="8"/>
      <name val="Calibri"/>
      <family val="2"/>
    </font>
    <font>
      <b/>
      <sz val="11"/>
      <color rgb="FF000000"/>
      <name val="Calibri"/>
      <family val="2"/>
    </font>
    <font>
      <sz val="11"/>
      <color indexed="8"/>
      <name val="Arial"/>
      <family val="2"/>
    </font>
    <font>
      <sz val="10"/>
      <color theme="1"/>
      <name val="Arial1"/>
    </font>
    <font>
      <b/>
      <sz val="13"/>
      <color rgb="FF000000"/>
      <name val="Calibri"/>
      <family val="2"/>
    </font>
    <font>
      <b/>
      <sz val="14"/>
      <name val="Arial"/>
      <family val="2"/>
    </font>
    <font>
      <b/>
      <i/>
      <sz val="10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u/>
      <sz val="10"/>
      <name val="Arial Narrow"/>
      <family val="2"/>
    </font>
    <font>
      <sz val="11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0"/>
      <name val="Courier"/>
      <family val="3"/>
    </font>
    <font>
      <u/>
      <sz val="9.9"/>
      <color theme="10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sz val="10"/>
      <name val="MS Sans Serif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b/>
      <u/>
      <sz val="10"/>
      <color indexed="8"/>
      <name val="Arial"/>
      <family val="2"/>
    </font>
    <font>
      <sz val="8"/>
      <color rgb="FF000000"/>
      <name val="Verdana"/>
      <family val="2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8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32">
    <xf numFmtId="0" fontId="0" fillId="0" borderId="0"/>
    <xf numFmtId="0" fontId="14" fillId="0" borderId="0"/>
    <xf numFmtId="165" fontId="12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2" fillId="0" borderId="0"/>
    <xf numFmtId="165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165" fontId="12" fillId="0" borderId="0" applyFont="0" applyFill="0" applyBorder="0" applyAlignment="0" applyProtection="0"/>
    <xf numFmtId="0" fontId="12" fillId="0" borderId="0"/>
    <xf numFmtId="0" fontId="11" fillId="0" borderId="0"/>
    <xf numFmtId="43" fontId="11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27" fillId="0" borderId="0"/>
    <xf numFmtId="169" fontId="30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9" fontId="27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65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0" borderId="0" applyBorder="0"/>
    <xf numFmtId="0" fontId="12" fillId="0" borderId="0"/>
    <xf numFmtId="9" fontId="12" fillId="0" borderId="0" applyFont="0" applyFill="0" applyBorder="0" applyAlignment="0" applyProtection="0"/>
    <xf numFmtId="0" fontId="9" fillId="0" borderId="0"/>
    <xf numFmtId="0" fontId="12" fillId="0" borderId="0"/>
    <xf numFmtId="0" fontId="12" fillId="0" borderId="0"/>
    <xf numFmtId="0" fontId="12" fillId="0" borderId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1" borderId="0" applyNumberFormat="0" applyBorder="0" applyAlignment="0" applyProtection="0"/>
    <xf numFmtId="0" fontId="27" fillId="13" borderId="0" applyNumberFormat="0" applyBorder="0" applyAlignment="0" applyProtection="0"/>
    <xf numFmtId="0" fontId="27" fillId="10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3" borderId="0" applyNumberFormat="0" applyBorder="0" applyAlignment="0" applyProtection="0"/>
    <xf numFmtId="0" fontId="27" fillId="11" borderId="0" applyNumberFormat="0" applyBorder="0" applyAlignment="0" applyProtection="0"/>
    <xf numFmtId="0" fontId="38" fillId="13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38" fillId="15" borderId="0" applyNumberFormat="0" applyBorder="0" applyAlignment="0" applyProtection="0"/>
    <xf numFmtId="0" fontId="38" fillId="13" borderId="0" applyNumberFormat="0" applyBorder="0" applyAlignment="0" applyProtection="0"/>
    <xf numFmtId="0" fontId="38" fillId="10" borderId="0" applyNumberFormat="0" applyBorder="0" applyAlignment="0" applyProtection="0"/>
    <xf numFmtId="0" fontId="39" fillId="13" borderId="0" applyNumberFormat="0" applyBorder="0" applyAlignment="0" applyProtection="0"/>
    <xf numFmtId="0" fontId="40" fillId="18" borderId="58" applyNumberFormat="0" applyAlignment="0" applyProtection="0"/>
    <xf numFmtId="0" fontId="41" fillId="19" borderId="59" applyNumberFormat="0" applyAlignment="0" applyProtection="0"/>
    <xf numFmtId="0" fontId="42" fillId="0" borderId="60" applyNumberFormat="0" applyFill="0" applyAlignment="0" applyProtection="0"/>
    <xf numFmtId="0" fontId="12" fillId="0" borderId="0" applyFill="0" applyProtection="0">
      <alignment vertical="top"/>
    </xf>
    <xf numFmtId="0" fontId="38" fillId="20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38" fillId="21" borderId="0" applyNumberFormat="0" applyBorder="0" applyAlignment="0" applyProtection="0"/>
    <xf numFmtId="0" fontId="38" fillId="22" borderId="0" applyNumberFormat="0" applyBorder="0" applyAlignment="0" applyProtection="0"/>
    <xf numFmtId="0" fontId="38" fillId="23" borderId="0" applyNumberFormat="0" applyBorder="0" applyAlignment="0" applyProtection="0"/>
    <xf numFmtId="0" fontId="43" fillId="14" borderId="58" applyNumberFormat="0" applyAlignment="0" applyProtection="0"/>
    <xf numFmtId="172" fontId="44" fillId="0" borderId="0" applyFont="0" applyFill="0" applyBorder="0" applyAlignment="0" applyProtection="0"/>
    <xf numFmtId="2" fontId="12" fillId="0" borderId="0" applyFill="0" applyProtection="0">
      <alignment vertical="top"/>
    </xf>
    <xf numFmtId="0" fontId="45" fillId="0" borderId="0" applyNumberFormat="0" applyFill="0" applyBorder="0" applyAlignment="0" applyProtection="0">
      <alignment vertical="top"/>
      <protection locked="0"/>
    </xf>
    <xf numFmtId="0" fontId="46" fillId="24" borderId="0" applyNumberFormat="0" applyBorder="0" applyAlignment="0" applyProtection="0"/>
    <xf numFmtId="173" fontId="12" fillId="0" borderId="0" applyFont="0" applyFill="0" applyBorder="0" applyAlignment="0" applyProtection="0"/>
    <xf numFmtId="164" fontId="27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3" fontId="12" fillId="0" borderId="0" applyFill="0" applyBorder="0" applyAlignment="0" applyProtection="0"/>
    <xf numFmtId="0" fontId="47" fillId="1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12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8" fillId="11" borderId="61" applyNumberFormat="0" applyFont="0" applyAlignment="0" applyProtection="0"/>
    <xf numFmtId="9" fontId="2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49" fillId="18" borderId="62" applyNumberFormat="0" applyAlignment="0" applyProtection="0"/>
    <xf numFmtId="165" fontId="9" fillId="0" borderId="0" applyFont="0" applyFill="0" applyBorder="0" applyAlignment="0" applyProtection="0"/>
    <xf numFmtId="165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4" fontId="12" fillId="0" borderId="0" applyFill="0" applyBorder="0" applyAlignment="0" applyProtection="0"/>
    <xf numFmtId="17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27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74" fontId="12" fillId="0" borderId="0"/>
    <xf numFmtId="0" fontId="42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63" applyNumberFormat="0" applyFill="0" applyAlignment="0" applyProtection="0"/>
    <xf numFmtId="0" fontId="52" fillId="0" borderId="64" applyNumberFormat="0" applyFill="0" applyAlignment="0" applyProtection="0"/>
    <xf numFmtId="0" fontId="53" fillId="0" borderId="65" applyNumberFormat="0" applyFill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66" applyNumberFormat="0" applyFill="0" applyAlignment="0" applyProtection="0"/>
    <xf numFmtId="165" fontId="12" fillId="0" borderId="0" applyFont="0" applyFill="0" applyBorder="0" applyAlignment="0" applyProtection="0"/>
    <xf numFmtId="3" fontId="12" fillId="0" borderId="0" applyFill="0" applyBorder="0" applyAlignment="0" applyProtection="0"/>
    <xf numFmtId="0" fontId="8" fillId="0" borderId="0"/>
    <xf numFmtId="0" fontId="12" fillId="0" borderId="0"/>
    <xf numFmtId="0" fontId="5" fillId="0" borderId="0"/>
  </cellStyleXfs>
  <cellXfs count="536">
    <xf numFmtId="0" fontId="0" fillId="0" borderId="0" xfId="0"/>
    <xf numFmtId="0" fontId="13" fillId="0" borderId="0" xfId="0" applyFont="1" applyFill="1" applyAlignment="1">
      <alignment vertical="center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165" fontId="12" fillId="0" borderId="0" xfId="2" applyFont="1" applyFill="1" applyAlignment="1">
      <alignment vertical="center"/>
    </xf>
    <xf numFmtId="0" fontId="12" fillId="0" borderId="0" xfId="0" applyFont="1" applyFill="1" applyAlignment="1">
      <alignment horizontal="center" vertical="center"/>
    </xf>
    <xf numFmtId="165" fontId="12" fillId="0" borderId="0" xfId="2" applyNumberFormat="1" applyFont="1" applyFill="1" applyAlignment="1">
      <alignment vertical="center"/>
    </xf>
    <xf numFmtId="0" fontId="16" fillId="0" borderId="0" xfId="0" applyFont="1" applyFill="1" applyAlignment="1">
      <alignment vertical="center"/>
    </xf>
    <xf numFmtId="9" fontId="12" fillId="0" borderId="0" xfId="3" applyFont="1" applyFill="1" applyAlignment="1">
      <alignment vertical="center"/>
    </xf>
    <xf numFmtId="0" fontId="12" fillId="0" borderId="0" xfId="0" quotePrefix="1" applyFont="1" applyFill="1" applyAlignment="1">
      <alignment vertical="center"/>
    </xf>
    <xf numFmtId="0" fontId="13" fillId="0" borderId="4" xfId="0" applyFont="1" applyFill="1" applyBorder="1" applyAlignment="1">
      <alignment horizontal="center" vertical="center"/>
    </xf>
    <xf numFmtId="165" fontId="13" fillId="0" borderId="0" xfId="2" applyFont="1" applyFill="1" applyBorder="1" applyAlignment="1">
      <alignment vertical="center"/>
    </xf>
    <xf numFmtId="9" fontId="12" fillId="0" borderId="0" xfId="3" applyFont="1" applyFill="1" applyBorder="1" applyAlignment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horizontal="center" vertical="center"/>
    </xf>
    <xf numFmtId="165" fontId="15" fillId="0" borderId="0" xfId="2" applyNumberFormat="1" applyFont="1" applyFill="1" applyBorder="1" applyAlignment="1">
      <alignment vertical="center"/>
    </xf>
    <xf numFmtId="165" fontId="15" fillId="0" borderId="0" xfId="2" applyFont="1" applyFill="1" applyBorder="1" applyAlignment="1">
      <alignment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165" fontId="13" fillId="0" borderId="0" xfId="2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vertical="center" wrapText="1"/>
    </xf>
    <xf numFmtId="165" fontId="13" fillId="3" borderId="3" xfId="2" applyFont="1" applyFill="1" applyBorder="1" applyAlignment="1">
      <alignment vertical="center"/>
    </xf>
    <xf numFmtId="0" fontId="16" fillId="0" borderId="3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vertical="center" wrapText="1"/>
    </xf>
    <xf numFmtId="0" fontId="15" fillId="0" borderId="3" xfId="0" applyFont="1" applyFill="1" applyBorder="1" applyAlignment="1">
      <alignment horizontal="center" vertical="center"/>
    </xf>
    <xf numFmtId="165" fontId="15" fillId="0" borderId="3" xfId="2" applyNumberFormat="1" applyFont="1" applyFill="1" applyBorder="1" applyAlignment="1">
      <alignment vertical="center"/>
    </xf>
    <xf numFmtId="165" fontId="15" fillId="0" borderId="3" xfId="2" applyFont="1" applyFill="1" applyBorder="1" applyAlignment="1">
      <alignment vertical="center"/>
    </xf>
    <xf numFmtId="0" fontId="16" fillId="3" borderId="3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/>
    </xf>
    <xf numFmtId="165" fontId="15" fillId="3" borderId="3" xfId="2" applyNumberFormat="1" applyFont="1" applyFill="1" applyBorder="1" applyAlignment="1">
      <alignment vertical="center"/>
    </xf>
    <xf numFmtId="165" fontId="15" fillId="3" borderId="3" xfId="2" applyFont="1" applyFill="1" applyBorder="1" applyAlignment="1">
      <alignment vertical="center"/>
    </xf>
    <xf numFmtId="4" fontId="22" fillId="3" borderId="6" xfId="0" applyNumberFormat="1" applyFont="1" applyFill="1" applyBorder="1" applyAlignment="1">
      <alignment vertical="center"/>
    </xf>
    <xf numFmtId="0" fontId="13" fillId="0" borderId="5" xfId="0" applyFont="1" applyFill="1" applyBorder="1" applyAlignment="1">
      <alignment horizontal="center" vertical="center"/>
    </xf>
    <xf numFmtId="165" fontId="13" fillId="0" borderId="5" xfId="2" applyNumberFormat="1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center" vertical="center"/>
    </xf>
    <xf numFmtId="165" fontId="13" fillId="3" borderId="10" xfId="2" applyFont="1" applyFill="1" applyBorder="1" applyAlignment="1">
      <alignment vertical="center"/>
    </xf>
    <xf numFmtId="0" fontId="18" fillId="0" borderId="9" xfId="0" applyFont="1" applyFill="1" applyBorder="1" applyAlignment="1">
      <alignment horizontal="center" vertical="center"/>
    </xf>
    <xf numFmtId="165" fontId="15" fillId="0" borderId="10" xfId="2" applyFont="1" applyFill="1" applyBorder="1" applyAlignment="1">
      <alignment vertical="center"/>
    </xf>
    <xf numFmtId="165" fontId="15" fillId="0" borderId="12" xfId="2" applyFont="1" applyFill="1" applyBorder="1" applyAlignment="1">
      <alignment vertical="center"/>
    </xf>
    <xf numFmtId="165" fontId="13" fillId="4" borderId="10" xfId="2" applyFont="1" applyFill="1" applyBorder="1" applyAlignment="1">
      <alignment vertical="center"/>
    </xf>
    <xf numFmtId="165" fontId="13" fillId="4" borderId="17" xfId="2" applyFont="1" applyFill="1" applyBorder="1" applyAlignment="1">
      <alignment vertical="center"/>
    </xf>
    <xf numFmtId="0" fontId="19" fillId="3" borderId="3" xfId="0" applyFont="1" applyFill="1" applyBorder="1" applyAlignment="1">
      <alignment vertical="center"/>
    </xf>
    <xf numFmtId="0" fontId="18" fillId="3" borderId="3" xfId="0" applyFont="1" applyFill="1" applyBorder="1" applyAlignment="1">
      <alignment vertical="center"/>
    </xf>
    <xf numFmtId="0" fontId="13" fillId="3" borderId="3" xfId="0" applyFont="1" applyFill="1" applyBorder="1" applyAlignment="1">
      <alignment horizontal="center" vertical="center"/>
    </xf>
    <xf numFmtId="165" fontId="13" fillId="3" borderId="3" xfId="2" applyNumberFormat="1" applyFont="1" applyFill="1" applyBorder="1" applyAlignment="1">
      <alignment vertical="center"/>
    </xf>
    <xf numFmtId="165" fontId="12" fillId="3" borderId="3" xfId="2" applyFont="1" applyFill="1" applyBorder="1" applyAlignment="1">
      <alignment vertical="center"/>
    </xf>
    <xf numFmtId="0" fontId="13" fillId="0" borderId="3" xfId="1" applyFont="1" applyFill="1" applyBorder="1" applyAlignment="1">
      <alignment horizontal="center" vertical="center"/>
    </xf>
    <xf numFmtId="10" fontId="12" fillId="0" borderId="0" xfId="3" applyNumberFormat="1" applyFont="1" applyFill="1" applyAlignment="1">
      <alignment vertical="center"/>
    </xf>
    <xf numFmtId="165" fontId="22" fillId="0" borderId="3" xfId="2" applyNumberFormat="1" applyFont="1" applyFill="1" applyBorder="1" applyAlignment="1">
      <alignment horizontal="right" vertical="center"/>
    </xf>
    <xf numFmtId="165" fontId="22" fillId="0" borderId="1" xfId="2" applyNumberFormat="1" applyFont="1" applyFill="1" applyBorder="1" applyAlignment="1">
      <alignment horizontal="right" vertical="center"/>
    </xf>
    <xf numFmtId="164" fontId="13" fillId="0" borderId="1" xfId="2" applyNumberFormat="1" applyFont="1" applyFill="1" applyBorder="1" applyAlignment="1">
      <alignment vertical="center"/>
    </xf>
    <xf numFmtId="165" fontId="22" fillId="0" borderId="21" xfId="2" applyNumberFormat="1" applyFont="1" applyFill="1" applyBorder="1" applyAlignment="1">
      <alignment horizontal="right" vertical="center"/>
    </xf>
    <xf numFmtId="2" fontId="12" fillId="0" borderId="0" xfId="3" applyNumberFormat="1" applyFont="1" applyFill="1" applyAlignment="1">
      <alignment vertical="center"/>
    </xf>
    <xf numFmtId="0" fontId="12" fillId="0" borderId="0" xfId="12"/>
    <xf numFmtId="0" fontId="12" fillId="7" borderId="3" xfId="12" applyFill="1" applyBorder="1" applyAlignment="1">
      <alignment horizontal="center" vertical="center"/>
    </xf>
    <xf numFmtId="49" fontId="26" fillId="0" borderId="3" xfId="13" applyNumberFormat="1" applyFont="1" applyFill="1" applyBorder="1" applyAlignment="1">
      <alignment horizontal="center" vertical="center"/>
    </xf>
    <xf numFmtId="168" fontId="25" fillId="0" borderId="3" xfId="13" applyNumberFormat="1" applyFont="1" applyFill="1" applyBorder="1" applyAlignment="1">
      <alignment horizontal="center" vertical="center" wrapText="1"/>
    </xf>
    <xf numFmtId="43" fontId="25" fillId="0" borderId="3" xfId="14" applyFont="1" applyFill="1" applyBorder="1" applyAlignment="1">
      <alignment horizontal="center" vertical="center" wrapText="1"/>
    </xf>
    <xf numFmtId="0" fontId="11" fillId="0" borderId="3" xfId="13" applyFill="1" applyBorder="1" applyAlignment="1">
      <alignment horizontal="center" vertical="center"/>
    </xf>
    <xf numFmtId="170" fontId="25" fillId="0" borderId="3" xfId="14" applyNumberFormat="1" applyFont="1" applyFill="1" applyBorder="1" applyAlignment="1">
      <alignment horizontal="center" vertical="center"/>
    </xf>
    <xf numFmtId="0" fontId="12" fillId="7" borderId="9" xfId="12" applyFill="1" applyBorder="1" applyAlignment="1">
      <alignment horizontal="center" vertical="center"/>
    </xf>
    <xf numFmtId="0" fontId="12" fillId="7" borderId="10" xfId="12" applyFill="1" applyBorder="1" applyAlignment="1">
      <alignment horizontal="center" vertical="center"/>
    </xf>
    <xf numFmtId="0" fontId="12" fillId="0" borderId="9" xfId="12" applyFill="1" applyBorder="1" applyAlignment="1">
      <alignment horizontal="center"/>
    </xf>
    <xf numFmtId="0" fontId="10" fillId="0" borderId="3" xfId="13" applyFont="1" applyFill="1" applyBorder="1" applyAlignment="1">
      <alignment vertical="center"/>
    </xf>
    <xf numFmtId="165" fontId="25" fillId="0" borderId="10" xfId="15" applyFont="1" applyFill="1" applyBorder="1" applyAlignment="1">
      <alignment vertical="center"/>
    </xf>
    <xf numFmtId="43" fontId="31" fillId="0" borderId="30" xfId="12" applyNumberFormat="1" applyFont="1" applyFill="1" applyBorder="1"/>
    <xf numFmtId="4" fontId="12" fillId="0" borderId="0" xfId="0" applyNumberFormat="1" applyFont="1" applyFill="1" applyAlignment="1">
      <alignment vertical="center"/>
    </xf>
    <xf numFmtId="4" fontId="12" fillId="0" borderId="0" xfId="3" applyNumberFormat="1" applyFont="1" applyFill="1" applyAlignment="1">
      <alignment vertical="center"/>
    </xf>
    <xf numFmtId="2" fontId="12" fillId="0" borderId="0" xfId="0" applyNumberFormat="1" applyFont="1" applyFill="1" applyAlignment="1">
      <alignment vertical="center"/>
    </xf>
    <xf numFmtId="0" fontId="18" fillId="0" borderId="3" xfId="0" applyFont="1" applyFill="1" applyBorder="1" applyAlignment="1">
      <alignment horizontal="center" vertical="center"/>
    </xf>
    <xf numFmtId="0" fontId="12" fillId="0" borderId="0" xfId="105" applyFont="1" applyFill="1" applyAlignment="1">
      <alignment vertical="center"/>
    </xf>
    <xf numFmtId="0" fontId="12" fillId="0" borderId="0" xfId="105" applyFont="1" applyFill="1" applyAlignment="1">
      <alignment horizontal="center" vertical="center"/>
    </xf>
    <xf numFmtId="0" fontId="13" fillId="0" borderId="0" xfId="105" applyFont="1" applyBorder="1" applyAlignment="1">
      <alignment horizontal="left" vertical="center"/>
    </xf>
    <xf numFmtId="0" fontId="22" fillId="0" borderId="0" xfId="106" applyFont="1" applyBorder="1" applyAlignment="1">
      <alignment horizontal="center"/>
    </xf>
    <xf numFmtId="4" fontId="22" fillId="0" borderId="0" xfId="106" applyNumberFormat="1" applyFont="1" applyBorder="1" applyAlignment="1">
      <alignment horizontal="center"/>
    </xf>
    <xf numFmtId="0" fontId="33" fillId="0" borderId="4" xfId="105" applyFont="1" applyBorder="1" applyAlignment="1">
      <alignment horizontal="center" vertical="center"/>
    </xf>
    <xf numFmtId="0" fontId="33" fillId="0" borderId="6" xfId="105" applyFont="1" applyBorder="1" applyAlignment="1">
      <alignment horizontal="center" vertical="center"/>
    </xf>
    <xf numFmtId="0" fontId="34" fillId="0" borderId="8" xfId="105" applyFont="1" applyBorder="1" applyAlignment="1">
      <alignment horizontal="center" vertical="center"/>
    </xf>
    <xf numFmtId="10" fontId="34" fillId="0" borderId="10" xfId="107" applyNumberFormat="1" applyFont="1" applyFill="1" applyBorder="1" applyAlignment="1">
      <alignment horizontal="center" vertical="center"/>
    </xf>
    <xf numFmtId="0" fontId="34" fillId="0" borderId="9" xfId="105" applyFont="1" applyBorder="1" applyAlignment="1">
      <alignment horizontal="center" vertical="center"/>
    </xf>
    <xf numFmtId="0" fontId="35" fillId="0" borderId="9" xfId="105" applyFont="1" applyBorder="1" applyAlignment="1">
      <alignment horizontal="center" vertical="center"/>
    </xf>
    <xf numFmtId="10" fontId="35" fillId="0" borderId="10" xfId="107" applyNumberFormat="1" applyFont="1" applyFill="1" applyBorder="1" applyAlignment="1">
      <alignment horizontal="center" vertical="center"/>
    </xf>
    <xf numFmtId="0" fontId="35" fillId="0" borderId="7" xfId="105" applyFont="1" applyBorder="1" applyAlignment="1">
      <alignment horizontal="center" vertical="center"/>
    </xf>
    <xf numFmtId="0" fontId="35" fillId="0" borderId="0" xfId="105" applyFont="1" applyBorder="1" applyAlignment="1">
      <alignment horizontal="center" vertical="center"/>
    </xf>
    <xf numFmtId="0" fontId="12" fillId="0" borderId="0" xfId="105" applyFont="1" applyFill="1" applyBorder="1" applyAlignment="1">
      <alignment vertical="center"/>
    </xf>
    <xf numFmtId="10" fontId="35" fillId="0" borderId="12" xfId="107" applyNumberFormat="1" applyFont="1" applyBorder="1" applyAlignment="1">
      <alignment horizontal="center" vertical="center"/>
    </xf>
    <xf numFmtId="0" fontId="35" fillId="0" borderId="12" xfId="105" applyFont="1" applyBorder="1" applyAlignment="1">
      <alignment horizontal="center" vertical="center"/>
    </xf>
    <xf numFmtId="0" fontId="34" fillId="0" borderId="0" xfId="105" applyFont="1" applyBorder="1" applyAlignment="1">
      <alignment horizontal="center" vertical="center"/>
    </xf>
    <xf numFmtId="0" fontId="35" fillId="0" borderId="7" xfId="105" applyFont="1" applyBorder="1" applyAlignment="1">
      <alignment horizontal="right" vertical="center"/>
    </xf>
    <xf numFmtId="0" fontId="35" fillId="0" borderId="0" xfId="105" applyFont="1" applyBorder="1" applyAlignment="1">
      <alignment horizontal="right" vertical="center"/>
    </xf>
    <xf numFmtId="0" fontId="35" fillId="0" borderId="12" xfId="105" applyFont="1" applyBorder="1" applyAlignment="1">
      <alignment horizontal="left" vertical="center"/>
    </xf>
    <xf numFmtId="0" fontId="34" fillId="0" borderId="7" xfId="105" applyFont="1" applyBorder="1" applyAlignment="1">
      <alignment horizontal="right" vertical="center"/>
    </xf>
    <xf numFmtId="0" fontId="34" fillId="0" borderId="0" xfId="105" applyFont="1" applyBorder="1" applyAlignment="1">
      <alignment horizontal="right" vertical="center"/>
    </xf>
    <xf numFmtId="10" fontId="34" fillId="0" borderId="12" xfId="107" applyNumberFormat="1" applyFont="1" applyBorder="1" applyAlignment="1">
      <alignment horizontal="left" vertical="center"/>
    </xf>
    <xf numFmtId="0" fontId="35" fillId="0" borderId="37" xfId="105" applyFont="1" applyBorder="1" applyAlignment="1">
      <alignment horizontal="center" vertical="center"/>
    </xf>
    <xf numFmtId="0" fontId="35" fillId="0" borderId="38" xfId="105" applyFont="1" applyBorder="1" applyAlignment="1">
      <alignment horizontal="center" vertical="center"/>
    </xf>
    <xf numFmtId="0" fontId="12" fillId="0" borderId="38" xfId="105" applyFont="1" applyFill="1" applyBorder="1" applyAlignment="1">
      <alignment vertical="center"/>
    </xf>
    <xf numFmtId="0" fontId="35" fillId="0" borderId="39" xfId="105" applyFont="1" applyBorder="1" applyAlignment="1">
      <alignment horizontal="center" vertical="center"/>
    </xf>
    <xf numFmtId="0" fontId="12" fillId="0" borderId="0" xfId="105" applyFont="1" applyFill="1" applyAlignment="1">
      <alignment vertical="center" wrapText="1"/>
    </xf>
    <xf numFmtId="0" fontId="18" fillId="0" borderId="49" xfId="0" applyFont="1" applyFill="1" applyBorder="1" applyAlignment="1">
      <alignment horizontal="center" vertical="center"/>
    </xf>
    <xf numFmtId="0" fontId="15" fillId="0" borderId="22" xfId="0" applyFont="1" applyFill="1" applyBorder="1" applyAlignment="1">
      <alignment horizontal="center" vertical="center"/>
    </xf>
    <xf numFmtId="165" fontId="15" fillId="0" borderId="22" xfId="2" applyNumberFormat="1" applyFont="1" applyFill="1" applyBorder="1" applyAlignment="1">
      <alignment vertical="center"/>
    </xf>
    <xf numFmtId="165" fontId="15" fillId="0" borderId="22" xfId="2" applyFont="1" applyFill="1" applyBorder="1" applyAlignment="1">
      <alignment vertical="center"/>
    </xf>
    <xf numFmtId="0" fontId="12" fillId="0" borderId="3" xfId="0" applyFont="1" applyFill="1" applyBorder="1" applyAlignment="1">
      <alignment horizontal="center"/>
    </xf>
    <xf numFmtId="0" fontId="12" fillId="0" borderId="9" xfId="12" applyFill="1" applyBorder="1" applyAlignment="1">
      <alignment horizontal="center" vertical="center"/>
    </xf>
    <xf numFmtId="2" fontId="37" fillId="8" borderId="55" xfId="0" quotePrefix="1" applyNumberFormat="1" applyFont="1" applyFill="1" applyBorder="1" applyAlignment="1" applyProtection="1">
      <alignment wrapText="1"/>
      <protection locked="0"/>
    </xf>
    <xf numFmtId="2" fontId="37" fillId="8" borderId="56" xfId="0" applyNumberFormat="1" applyFont="1" applyFill="1" applyBorder="1" applyAlignment="1" applyProtection="1">
      <alignment wrapText="1"/>
      <protection locked="0"/>
    </xf>
    <xf numFmtId="2" fontId="37" fillId="8" borderId="57" xfId="0" applyNumberFormat="1" applyFont="1" applyFill="1" applyBorder="1" applyAlignment="1" applyProtection="1">
      <alignment wrapText="1"/>
      <protection locked="0"/>
    </xf>
    <xf numFmtId="168" fontId="25" fillId="0" borderId="3" xfId="13" applyNumberFormat="1" applyFont="1" applyFill="1" applyBorder="1" applyAlignment="1">
      <alignment horizontal="left" vertical="center" wrapText="1"/>
    </xf>
    <xf numFmtId="0" fontId="56" fillId="0" borderId="6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/>
    </xf>
    <xf numFmtId="0" fontId="15" fillId="25" borderId="3" xfId="0" applyFont="1" applyFill="1" applyBorder="1" applyAlignment="1">
      <alignment vertical="center" wrapText="1"/>
    </xf>
    <xf numFmtId="0" fontId="12" fillId="0" borderId="3" xfId="0" applyNumberFormat="1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vertical="center"/>
    </xf>
    <xf numFmtId="0" fontId="15" fillId="0" borderId="3" xfId="230" applyFont="1" applyFill="1" applyBorder="1" applyAlignment="1">
      <alignment horizontal="center" vertical="center"/>
    </xf>
    <xf numFmtId="0" fontId="18" fillId="27" borderId="9" xfId="0" applyFont="1" applyFill="1" applyBorder="1" applyAlignment="1">
      <alignment horizontal="center" vertical="center"/>
    </xf>
    <xf numFmtId="0" fontId="16" fillId="27" borderId="3" xfId="0" applyFont="1" applyFill="1" applyBorder="1" applyAlignment="1">
      <alignment horizontal="center" vertical="center"/>
    </xf>
    <xf numFmtId="0" fontId="18" fillId="27" borderId="3" xfId="0" applyFont="1" applyFill="1" applyBorder="1" applyAlignment="1">
      <alignment horizontal="center" vertical="center"/>
    </xf>
    <xf numFmtId="0" fontId="15" fillId="27" borderId="3" xfId="0" applyFont="1" applyFill="1" applyBorder="1" applyAlignment="1">
      <alignment vertical="center" wrapText="1"/>
    </xf>
    <xf numFmtId="0" fontId="15" fillId="27" borderId="3" xfId="0" applyFont="1" applyFill="1" applyBorder="1" applyAlignment="1">
      <alignment horizontal="center" vertical="center"/>
    </xf>
    <xf numFmtId="165" fontId="15" fillId="27" borderId="3" xfId="2" applyNumberFormat="1" applyFont="1" applyFill="1" applyBorder="1" applyAlignment="1">
      <alignment vertical="center"/>
    </xf>
    <xf numFmtId="165" fontId="15" fillId="27" borderId="3" xfId="2" applyFont="1" applyFill="1" applyBorder="1" applyAlignment="1">
      <alignment vertical="center"/>
    </xf>
    <xf numFmtId="165" fontId="15" fillId="27" borderId="10" xfId="2" applyFont="1" applyFill="1" applyBorder="1" applyAlignment="1">
      <alignment vertical="center"/>
    </xf>
    <xf numFmtId="0" fontId="12" fillId="27" borderId="0" xfId="0" applyFont="1" applyFill="1" applyAlignment="1">
      <alignment vertical="center"/>
    </xf>
    <xf numFmtId="0" fontId="18" fillId="26" borderId="9" xfId="0" applyFont="1" applyFill="1" applyBorder="1" applyAlignment="1">
      <alignment horizontal="center" vertical="center"/>
    </xf>
    <xf numFmtId="0" fontId="16" fillId="26" borderId="3" xfId="0" applyFont="1" applyFill="1" applyBorder="1" applyAlignment="1">
      <alignment horizontal="center" vertical="center"/>
    </xf>
    <xf numFmtId="0" fontId="18" fillId="26" borderId="3" xfId="0" applyFont="1" applyFill="1" applyBorder="1" applyAlignment="1">
      <alignment horizontal="center" vertical="center"/>
    </xf>
    <xf numFmtId="0" fontId="15" fillId="26" borderId="3" xfId="0" applyFont="1" applyFill="1" applyBorder="1" applyAlignment="1">
      <alignment vertical="center" wrapText="1"/>
    </xf>
    <xf numFmtId="0" fontId="15" fillId="26" borderId="3" xfId="0" applyFont="1" applyFill="1" applyBorder="1" applyAlignment="1">
      <alignment horizontal="center" vertical="center"/>
    </xf>
    <xf numFmtId="165" fontId="15" fillId="26" borderId="3" xfId="2" applyNumberFormat="1" applyFont="1" applyFill="1" applyBorder="1" applyAlignment="1">
      <alignment vertical="center"/>
    </xf>
    <xf numFmtId="165" fontId="15" fillId="26" borderId="3" xfId="2" applyFont="1" applyFill="1" applyBorder="1" applyAlignment="1">
      <alignment vertical="center"/>
    </xf>
    <xf numFmtId="165" fontId="15" fillId="26" borderId="10" xfId="2" applyFont="1" applyFill="1" applyBorder="1" applyAlignment="1">
      <alignment vertical="center"/>
    </xf>
    <xf numFmtId="0" fontId="12" fillId="26" borderId="0" xfId="0" applyFont="1" applyFill="1" applyAlignment="1">
      <alignment vertical="center"/>
    </xf>
    <xf numFmtId="0" fontId="18" fillId="3" borderId="49" xfId="0" applyFont="1" applyFill="1" applyBorder="1" applyAlignment="1">
      <alignment horizontal="center" vertical="center"/>
    </xf>
    <xf numFmtId="0" fontId="19" fillId="3" borderId="22" xfId="0" applyFont="1" applyFill="1" applyBorder="1" applyAlignment="1">
      <alignment vertical="center"/>
    </xf>
    <xf numFmtId="0" fontId="18" fillId="3" borderId="22" xfId="0" applyFont="1" applyFill="1" applyBorder="1" applyAlignment="1">
      <alignment vertical="center"/>
    </xf>
    <xf numFmtId="0" fontId="13" fillId="3" borderId="22" xfId="0" applyFont="1" applyFill="1" applyBorder="1" applyAlignment="1">
      <alignment vertical="center" wrapText="1"/>
    </xf>
    <xf numFmtId="0" fontId="13" fillId="3" borderId="22" xfId="0" applyFont="1" applyFill="1" applyBorder="1" applyAlignment="1">
      <alignment horizontal="center" vertical="center"/>
    </xf>
    <xf numFmtId="165" fontId="13" fillId="3" borderId="22" xfId="2" applyNumberFormat="1" applyFont="1" applyFill="1" applyBorder="1" applyAlignment="1">
      <alignment vertical="center"/>
    </xf>
    <xf numFmtId="165" fontId="12" fillId="3" borderId="22" xfId="2" applyFont="1" applyFill="1" applyBorder="1" applyAlignment="1">
      <alignment vertical="center"/>
    </xf>
    <xf numFmtId="165" fontId="13" fillId="3" borderId="22" xfId="2" applyFont="1" applyFill="1" applyBorder="1" applyAlignment="1">
      <alignment vertical="center"/>
    </xf>
    <xf numFmtId="165" fontId="13" fillId="3" borderId="67" xfId="2" applyFont="1" applyFill="1" applyBorder="1" applyAlignment="1">
      <alignment vertical="center"/>
    </xf>
    <xf numFmtId="0" fontId="13" fillId="0" borderId="0" xfId="1" applyFont="1" applyBorder="1" applyAlignment="1">
      <alignment horizontal="center" vertical="center"/>
    </xf>
    <xf numFmtId="10" fontId="13" fillId="0" borderId="0" xfId="3" applyNumberFormat="1" applyFont="1" applyFill="1" applyBorder="1" applyAlignment="1">
      <alignment horizontal="center" vertical="center" wrapText="1"/>
    </xf>
    <xf numFmtId="0" fontId="12" fillId="0" borderId="0" xfId="32" applyFont="1" applyFill="1" applyAlignment="1">
      <alignment vertical="center"/>
    </xf>
    <xf numFmtId="0" fontId="12" fillId="0" borderId="0" xfId="32" applyFont="1" applyFill="1" applyAlignment="1">
      <alignment horizontal="center" vertical="center"/>
    </xf>
    <xf numFmtId="0" fontId="13" fillId="0" borderId="0" xfId="32" applyFont="1" applyBorder="1" applyAlignment="1">
      <alignment horizontal="left" vertical="center"/>
    </xf>
    <xf numFmtId="9" fontId="12" fillId="0" borderId="0" xfId="97" applyNumberFormat="1" applyFont="1" applyFill="1" applyBorder="1" applyAlignment="1">
      <alignment vertical="center"/>
    </xf>
    <xf numFmtId="0" fontId="20" fillId="0" borderId="3" xfId="32" applyFont="1" applyFill="1" applyBorder="1" applyAlignment="1">
      <alignment horizontal="center" vertical="center" wrapText="1"/>
    </xf>
    <xf numFmtId="0" fontId="13" fillId="0" borderId="7" xfId="32" applyFont="1" applyFill="1" applyBorder="1" applyAlignment="1">
      <alignment horizontal="center" vertical="center"/>
    </xf>
    <xf numFmtId="0" fontId="13" fillId="0" borderId="0" xfId="32" applyFont="1" applyFill="1" applyBorder="1" applyAlignment="1">
      <alignment vertical="center"/>
    </xf>
    <xf numFmtId="0" fontId="13" fillId="0" borderId="0" xfId="32" applyFont="1" applyFill="1" applyBorder="1" applyAlignment="1">
      <alignment horizontal="center" vertical="center"/>
    </xf>
    <xf numFmtId="0" fontId="20" fillId="0" borderId="0" xfId="32" applyFont="1" applyFill="1" applyBorder="1" applyAlignment="1">
      <alignment horizontal="center" vertical="center" wrapText="1"/>
    </xf>
    <xf numFmtId="0" fontId="20" fillId="0" borderId="12" xfId="32" applyFont="1" applyFill="1" applyBorder="1" applyAlignment="1">
      <alignment horizontal="center" vertical="center" wrapText="1"/>
    </xf>
    <xf numFmtId="164" fontId="13" fillId="0" borderId="1" xfId="18" applyFont="1" applyFill="1" applyBorder="1" applyAlignment="1">
      <alignment horizontal="center" vertical="center"/>
    </xf>
    <xf numFmtId="0" fontId="13" fillId="0" borderId="0" xfId="32" applyFont="1" applyFill="1" applyAlignment="1">
      <alignment vertical="center"/>
    </xf>
    <xf numFmtId="167" fontId="13" fillId="0" borderId="16" xfId="32" applyNumberFormat="1" applyFont="1" applyFill="1" applyBorder="1" applyAlignment="1">
      <alignment vertical="center"/>
    </xf>
    <xf numFmtId="167" fontId="13" fillId="5" borderId="16" xfId="97" applyNumberFormat="1" applyFont="1" applyFill="1" applyBorder="1" applyAlignment="1">
      <alignment vertical="center"/>
    </xf>
    <xf numFmtId="167" fontId="13" fillId="5" borderId="17" xfId="97" applyNumberFormat="1" applyFont="1" applyFill="1" applyBorder="1" applyAlignment="1">
      <alignment vertical="center"/>
    </xf>
    <xf numFmtId="9" fontId="12" fillId="0" borderId="0" xfId="97" quotePrefix="1" applyFont="1" applyFill="1" applyAlignment="1">
      <alignment vertical="center"/>
    </xf>
    <xf numFmtId="9" fontId="12" fillId="0" borderId="0" xfId="97" applyFont="1" applyFill="1" applyAlignment="1">
      <alignment vertical="center"/>
    </xf>
    <xf numFmtId="9" fontId="13" fillId="0" borderId="16" xfId="32" applyNumberFormat="1" applyFont="1" applyFill="1" applyBorder="1" applyAlignment="1">
      <alignment vertical="center"/>
    </xf>
    <xf numFmtId="9" fontId="13" fillId="0" borderId="17" xfId="97" applyFont="1" applyFill="1" applyBorder="1" applyAlignment="1">
      <alignment vertical="center"/>
    </xf>
    <xf numFmtId="9" fontId="13" fillId="0" borderId="16" xfId="97" applyFont="1" applyFill="1" applyBorder="1" applyAlignment="1">
      <alignment vertical="center"/>
    </xf>
    <xf numFmtId="167" fontId="13" fillId="0" borderId="17" xfId="97" applyNumberFormat="1" applyFont="1" applyFill="1" applyBorder="1" applyAlignment="1">
      <alignment vertical="center"/>
    </xf>
    <xf numFmtId="167" fontId="13" fillId="0" borderId="16" xfId="97" applyNumberFormat="1" applyFont="1" applyFill="1" applyBorder="1" applyAlignment="1">
      <alignment vertical="center"/>
    </xf>
    <xf numFmtId="4" fontId="22" fillId="0" borderId="21" xfId="32" applyNumberFormat="1" applyFont="1" applyFill="1" applyBorder="1" applyAlignment="1">
      <alignment vertical="center"/>
    </xf>
    <xf numFmtId="10" fontId="22" fillId="0" borderId="3" xfId="97" applyNumberFormat="1" applyFont="1" applyFill="1" applyBorder="1" applyAlignment="1">
      <alignment horizontal="right" vertical="center"/>
    </xf>
    <xf numFmtId="10" fontId="22" fillId="0" borderId="16" xfId="97" applyNumberFormat="1" applyFont="1" applyFill="1" applyBorder="1" applyAlignment="1">
      <alignment horizontal="right" vertical="center"/>
    </xf>
    <xf numFmtId="0" fontId="12" fillId="0" borderId="0" xfId="32" applyFont="1" applyFill="1" applyAlignment="1">
      <alignment vertical="center" wrapText="1"/>
    </xf>
    <xf numFmtId="0" fontId="20" fillId="0" borderId="6" xfId="0" applyFont="1" applyFill="1" applyBorder="1" applyAlignment="1">
      <alignment horizontal="center" vertical="center" wrapText="1"/>
    </xf>
    <xf numFmtId="43" fontId="12" fillId="0" borderId="0" xfId="0" applyNumberFormat="1" applyFont="1" applyFill="1" applyAlignment="1">
      <alignment vertical="center"/>
    </xf>
    <xf numFmtId="0" fontId="0" fillId="0" borderId="3" xfId="0" applyBorder="1"/>
    <xf numFmtId="2" fontId="0" fillId="0" borderId="0" xfId="0" applyNumberFormat="1"/>
    <xf numFmtId="0" fontId="0" fillId="0" borderId="18" xfId="0" applyBorder="1"/>
    <xf numFmtId="0" fontId="0" fillId="0" borderId="18" xfId="0" applyBorder="1" applyAlignment="1">
      <alignment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/>
    <xf numFmtId="0" fontId="0" fillId="0" borderId="9" xfId="0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12" fillId="0" borderId="0" xfId="0" applyFont="1"/>
    <xf numFmtId="2" fontId="0" fillId="0" borderId="17" xfId="0" applyNumberFormat="1" applyBorder="1"/>
    <xf numFmtId="0" fontId="12" fillId="0" borderId="27" xfId="0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12" fillId="0" borderId="55" xfId="0" applyFont="1" applyBorder="1" applyAlignment="1">
      <alignment horizontal="center" vertical="center" wrapText="1"/>
    </xf>
    <xf numFmtId="0" fontId="0" fillId="0" borderId="56" xfId="0" applyBorder="1" applyAlignment="1">
      <alignment horizontal="center"/>
    </xf>
    <xf numFmtId="0" fontId="0" fillId="0" borderId="56" xfId="0" applyBorder="1"/>
    <xf numFmtId="2" fontId="0" fillId="0" borderId="56" xfId="0" applyNumberFormat="1" applyBorder="1"/>
    <xf numFmtId="2" fontId="0" fillId="0" borderId="57" xfId="0" applyNumberFormat="1" applyBorder="1"/>
    <xf numFmtId="0" fontId="12" fillId="0" borderId="0" xfId="0" applyFont="1" applyBorder="1" applyAlignment="1">
      <alignment wrapText="1"/>
    </xf>
    <xf numFmtId="2" fontId="0" fillId="0" borderId="69" xfId="0" applyNumberFormat="1" applyBorder="1"/>
    <xf numFmtId="2" fontId="0" fillId="0" borderId="70" xfId="0" applyNumberFormat="1" applyBorder="1"/>
    <xf numFmtId="2" fontId="0" fillId="0" borderId="71" xfId="0" applyNumberFormat="1" applyBorder="1"/>
    <xf numFmtId="0" fontId="12" fillId="0" borderId="31" xfId="0" applyFont="1" applyBorder="1" applyAlignment="1">
      <alignment horizontal="center" vertical="center" wrapText="1"/>
    </xf>
    <xf numFmtId="0" fontId="0" fillId="0" borderId="72" xfId="0" applyBorder="1" applyAlignment="1">
      <alignment horizontal="center"/>
    </xf>
    <xf numFmtId="0" fontId="0" fillId="0" borderId="72" xfId="0" applyBorder="1"/>
    <xf numFmtId="2" fontId="0" fillId="0" borderId="72" xfId="0" applyNumberFormat="1" applyBorder="1"/>
    <xf numFmtId="2" fontId="0" fillId="0" borderId="68" xfId="0" applyNumberFormat="1" applyBorder="1"/>
    <xf numFmtId="0" fontId="0" fillId="0" borderId="24" xfId="0" applyBorder="1"/>
    <xf numFmtId="0" fontId="0" fillId="0" borderId="25" xfId="0" applyBorder="1" applyAlignment="1">
      <alignment horizontal="center"/>
    </xf>
    <xf numFmtId="0" fontId="0" fillId="0" borderId="25" xfId="0" applyBorder="1"/>
    <xf numFmtId="0" fontId="0" fillId="0" borderId="73" xfId="0" applyBorder="1"/>
    <xf numFmtId="0" fontId="0" fillId="0" borderId="50" xfId="0" applyBorder="1"/>
    <xf numFmtId="0" fontId="0" fillId="0" borderId="11" xfId="0" applyBorder="1"/>
    <xf numFmtId="2" fontId="0" fillId="0" borderId="24" xfId="0" applyNumberFormat="1" applyBorder="1"/>
    <xf numFmtId="2" fontId="0" fillId="0" borderId="25" xfId="0" applyNumberFormat="1" applyBorder="1"/>
    <xf numFmtId="2" fontId="0" fillId="0" borderId="73" xfId="0" applyNumberFormat="1" applyBorder="1"/>
    <xf numFmtId="2" fontId="0" fillId="0" borderId="50" xfId="0" applyNumberFormat="1" applyBorder="1"/>
    <xf numFmtId="2" fontId="0" fillId="0" borderId="74" xfId="0" applyNumberFormat="1" applyBorder="1"/>
    <xf numFmtId="0" fontId="0" fillId="0" borderId="18" xfId="0" applyBorder="1" applyAlignment="1">
      <alignment horizontal="center"/>
    </xf>
    <xf numFmtId="2" fontId="0" fillId="0" borderId="18" xfId="0" applyNumberFormat="1" applyBorder="1"/>
    <xf numFmtId="2" fontId="0" fillId="0" borderId="75" xfId="0" applyNumberFormat="1" applyBorder="1"/>
    <xf numFmtId="0" fontId="12" fillId="0" borderId="27" xfId="0" applyFont="1" applyBorder="1" applyAlignment="1">
      <alignment horizontal="center" vertical="center" wrapText="1"/>
    </xf>
    <xf numFmtId="0" fontId="0" fillId="0" borderId="1" xfId="0" applyBorder="1"/>
    <xf numFmtId="0" fontId="0" fillId="0" borderId="16" xfId="0" applyBorder="1"/>
    <xf numFmtId="0" fontId="0" fillId="0" borderId="21" xfId="0" applyBorder="1"/>
    <xf numFmtId="0" fontId="13" fillId="0" borderId="20" xfId="0" applyFont="1" applyBorder="1" applyAlignment="1">
      <alignment horizontal="center" vertical="center"/>
    </xf>
    <xf numFmtId="0" fontId="13" fillId="0" borderId="77" xfId="0" applyFont="1" applyBorder="1" applyAlignment="1">
      <alignment horizontal="center" vertical="center"/>
    </xf>
    <xf numFmtId="0" fontId="12" fillId="0" borderId="23" xfId="0" applyFont="1" applyBorder="1"/>
    <xf numFmtId="0" fontId="0" fillId="0" borderId="23" xfId="0" applyBorder="1"/>
    <xf numFmtId="0" fontId="13" fillId="0" borderId="2" xfId="0" applyFont="1" applyBorder="1"/>
    <xf numFmtId="0" fontId="13" fillId="0" borderId="10" xfId="0" applyFont="1" applyBorder="1"/>
    <xf numFmtId="0" fontId="13" fillId="0" borderId="17" xfId="0" applyFont="1" applyBorder="1"/>
    <xf numFmtId="0" fontId="0" fillId="0" borderId="0" xfId="0" applyBorder="1" applyAlignment="1">
      <alignment wrapText="1"/>
    </xf>
    <xf numFmtId="0" fontId="0" fillId="0" borderId="69" xfId="0" applyBorder="1"/>
    <xf numFmtId="2" fontId="0" fillId="0" borderId="54" xfId="0" applyNumberFormat="1" applyBorder="1"/>
    <xf numFmtId="0" fontId="12" fillId="0" borderId="18" xfId="0" applyFont="1" applyBorder="1"/>
    <xf numFmtId="0" fontId="31" fillId="0" borderId="0" xfId="12" applyFont="1" applyFill="1" applyBorder="1" applyAlignment="1">
      <alignment horizontal="right" vertical="center"/>
    </xf>
    <xf numFmtId="43" fontId="31" fillId="0" borderId="0" xfId="12" applyNumberFormat="1" applyFont="1" applyFill="1" applyBorder="1"/>
    <xf numFmtId="0" fontId="12" fillId="0" borderId="27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/>
    </xf>
    <xf numFmtId="0" fontId="7" fillId="0" borderId="3" xfId="13" applyFont="1" applyFill="1" applyBorder="1" applyAlignment="1">
      <alignment vertical="center" wrapText="1"/>
    </xf>
    <xf numFmtId="0" fontId="10" fillId="0" borderId="3" xfId="13" applyFont="1" applyFill="1" applyBorder="1" applyAlignment="1">
      <alignment vertical="center" wrapText="1"/>
    </xf>
    <xf numFmtId="0" fontId="29" fillId="0" borderId="3" xfId="13" applyFont="1" applyFill="1" applyBorder="1" applyAlignment="1">
      <alignment horizontal="center" vertical="center"/>
    </xf>
    <xf numFmtId="0" fontId="5" fillId="0" borderId="3" xfId="13" applyFont="1" applyFill="1" applyBorder="1" applyAlignment="1">
      <alignment vertical="center" wrapText="1"/>
    </xf>
    <xf numFmtId="0" fontId="12" fillId="0" borderId="0" xfId="12" quotePrefix="1"/>
    <xf numFmtId="0" fontId="0" fillId="0" borderId="17" xfId="0" applyBorder="1"/>
    <xf numFmtId="0" fontId="16" fillId="0" borderId="23" xfId="0" applyFont="1" applyFill="1" applyBorder="1" applyAlignment="1">
      <alignment horizontal="center" vertical="center"/>
    </xf>
    <xf numFmtId="0" fontId="15" fillId="0" borderId="23" xfId="0" applyFont="1" applyFill="1" applyBorder="1" applyAlignment="1">
      <alignment vertical="center" wrapText="1"/>
    </xf>
    <xf numFmtId="165" fontId="15" fillId="0" borderId="23" xfId="2" applyNumberFormat="1" applyFont="1" applyFill="1" applyBorder="1" applyAlignment="1">
      <alignment vertical="center"/>
    </xf>
    <xf numFmtId="165" fontId="15" fillId="0" borderId="23" xfId="2" applyFont="1" applyFill="1" applyBorder="1" applyAlignment="1">
      <alignment vertical="center"/>
    </xf>
    <xf numFmtId="0" fontId="0" fillId="0" borderId="75" xfId="0" applyBorder="1"/>
    <xf numFmtId="0" fontId="12" fillId="0" borderId="78" xfId="0" applyFont="1" applyBorder="1" applyAlignment="1">
      <alignment horizontal="center" vertical="center" wrapText="1"/>
    </xf>
    <xf numFmtId="0" fontId="0" fillId="0" borderId="55" xfId="0" applyBorder="1"/>
    <xf numFmtId="0" fontId="0" fillId="0" borderId="57" xfId="0" applyBorder="1"/>
    <xf numFmtId="4" fontId="22" fillId="3" borderId="77" xfId="0" applyNumberFormat="1" applyFont="1" applyFill="1" applyBorder="1" applyAlignment="1">
      <alignment vertical="center"/>
    </xf>
    <xf numFmtId="165" fontId="22" fillId="3" borderId="7" xfId="2" applyNumberFormat="1" applyFont="1" applyFill="1" applyBorder="1" applyAlignment="1">
      <alignment horizontal="right" vertical="center"/>
    </xf>
    <xf numFmtId="165" fontId="22" fillId="3" borderId="0" xfId="2" applyNumberFormat="1" applyFont="1" applyFill="1" applyBorder="1" applyAlignment="1">
      <alignment horizontal="right" vertical="center"/>
    </xf>
    <xf numFmtId="4" fontId="22" fillId="3" borderId="0" xfId="0" applyNumberFormat="1" applyFont="1" applyFill="1" applyBorder="1" applyAlignment="1">
      <alignment vertical="center"/>
    </xf>
    <xf numFmtId="4" fontId="22" fillId="3" borderId="12" xfId="0" applyNumberFormat="1" applyFont="1" applyFill="1" applyBorder="1" applyAlignment="1">
      <alignment vertical="center"/>
    </xf>
    <xf numFmtId="0" fontId="35" fillId="0" borderId="3" xfId="0" applyNumberFormat="1" applyFont="1" applyFill="1" applyBorder="1" applyAlignment="1">
      <alignment horizontal="center" vertical="center" wrapText="1"/>
    </xf>
    <xf numFmtId="0" fontId="21" fillId="0" borderId="0" xfId="1" applyFont="1" applyFill="1" applyBorder="1" applyAlignment="1">
      <alignment vertical="center"/>
    </xf>
    <xf numFmtId="167" fontId="13" fillId="5" borderId="75" xfId="97" applyNumberFormat="1" applyFont="1" applyFill="1" applyBorder="1" applyAlignment="1">
      <alignment vertical="center"/>
    </xf>
    <xf numFmtId="9" fontId="13" fillId="0" borderId="75" xfId="97" applyFont="1" applyFill="1" applyBorder="1" applyAlignment="1">
      <alignment vertical="center"/>
    </xf>
    <xf numFmtId="167" fontId="13" fillId="0" borderId="75" xfId="97" applyNumberFormat="1" applyFont="1" applyFill="1" applyBorder="1" applyAlignment="1">
      <alignment vertical="center"/>
    </xf>
    <xf numFmtId="0" fontId="6" fillId="0" borderId="3" xfId="13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165" fontId="12" fillId="0" borderId="0" xfId="2" applyNumberFormat="1" applyFont="1" applyFill="1" applyBorder="1" applyAlignment="1">
      <alignment horizontal="left" vertical="top"/>
    </xf>
    <xf numFmtId="0" fontId="4" fillId="0" borderId="3" xfId="13" applyFont="1" applyFill="1" applyBorder="1" applyAlignment="1">
      <alignment vertical="center" wrapText="1"/>
    </xf>
    <xf numFmtId="43" fontId="25" fillId="27" borderId="3" xfId="14" applyFont="1" applyFill="1" applyBorder="1" applyAlignment="1">
      <alignment horizontal="center" vertical="center" wrapText="1"/>
    </xf>
    <xf numFmtId="0" fontId="5" fillId="27" borderId="3" xfId="13" applyFont="1" applyFill="1" applyBorder="1" applyAlignment="1">
      <alignment horizontal="center" vertical="center"/>
    </xf>
    <xf numFmtId="0" fontId="11" fillId="27" borderId="3" xfId="13" applyFill="1" applyBorder="1" applyAlignment="1">
      <alignment horizontal="center" vertical="center"/>
    </xf>
    <xf numFmtId="0" fontId="13" fillId="0" borderId="0" xfId="1" applyFont="1" applyBorder="1" applyAlignment="1">
      <alignment horizontal="center" vertical="distributed" wrapText="1"/>
    </xf>
    <xf numFmtId="0" fontId="21" fillId="2" borderId="0" xfId="1" applyFont="1" applyFill="1" applyBorder="1" applyAlignment="1">
      <alignment horizontal="center" vertical="center"/>
    </xf>
    <xf numFmtId="165" fontId="13" fillId="3" borderId="0" xfId="2" applyFont="1" applyFill="1" applyBorder="1" applyAlignment="1">
      <alignment vertical="center"/>
    </xf>
    <xf numFmtId="165" fontId="13" fillId="4" borderId="0" xfId="2" applyFont="1" applyFill="1" applyBorder="1" applyAlignment="1">
      <alignment vertical="center"/>
    </xf>
    <xf numFmtId="165" fontId="13" fillId="3" borderId="34" xfId="2" applyFont="1" applyFill="1" applyBorder="1" applyAlignment="1">
      <alignment vertical="center"/>
    </xf>
    <xf numFmtId="165" fontId="15" fillId="0" borderId="18" xfId="2" applyFont="1" applyFill="1" applyBorder="1" applyAlignment="1">
      <alignment vertical="center"/>
    </xf>
    <xf numFmtId="165" fontId="13" fillId="4" borderId="18" xfId="2" applyFont="1" applyFill="1" applyBorder="1" applyAlignment="1">
      <alignment vertical="center"/>
    </xf>
    <xf numFmtId="4" fontId="22" fillId="3" borderId="32" xfId="0" applyNumberFormat="1" applyFont="1" applyFill="1" applyBorder="1" applyAlignment="1">
      <alignment vertical="center"/>
    </xf>
    <xf numFmtId="165" fontId="13" fillId="3" borderId="18" xfId="2" applyFont="1" applyFill="1" applyBorder="1" applyAlignment="1">
      <alignment vertical="center"/>
    </xf>
    <xf numFmtId="165" fontId="13" fillId="4" borderId="75" xfId="2" applyFont="1" applyFill="1" applyBorder="1" applyAlignment="1">
      <alignment vertical="center"/>
    </xf>
    <xf numFmtId="0" fontId="20" fillId="0" borderId="32" xfId="0" applyFont="1" applyFill="1" applyBorder="1" applyAlignment="1">
      <alignment horizontal="center" vertical="center" wrapText="1"/>
    </xf>
    <xf numFmtId="4" fontId="22" fillId="3" borderId="43" xfId="0" applyNumberFormat="1" applyFont="1" applyFill="1" applyBorder="1" applyAlignment="1">
      <alignment vertical="center"/>
    </xf>
    <xf numFmtId="165" fontId="13" fillId="0" borderId="3" xfId="2" applyNumberFormat="1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165" fontId="13" fillId="4" borderId="3" xfId="2" applyFont="1" applyFill="1" applyBorder="1" applyAlignment="1">
      <alignment vertical="center"/>
    </xf>
    <xf numFmtId="4" fontId="22" fillId="3" borderId="3" xfId="0" applyNumberFormat="1" applyFont="1" applyFill="1" applyBorder="1" applyAlignment="1">
      <alignment vertical="center"/>
    </xf>
    <xf numFmtId="0" fontId="21" fillId="2" borderId="3" xfId="1" applyFont="1" applyFill="1" applyBorder="1" applyAlignment="1">
      <alignment horizontal="center" vertical="center"/>
    </xf>
    <xf numFmtId="165" fontId="15" fillId="25" borderId="3" xfId="2" applyNumberFormat="1" applyFont="1" applyFill="1" applyBorder="1" applyAlignment="1">
      <alignment vertical="center"/>
    </xf>
    <xf numFmtId="165" fontId="15" fillId="25" borderId="3" xfId="2" applyFont="1" applyFill="1" applyBorder="1" applyAlignment="1">
      <alignment vertical="center"/>
    </xf>
    <xf numFmtId="0" fontId="57" fillId="0" borderId="0" xfId="0" applyFont="1"/>
    <xf numFmtId="0" fontId="57" fillId="0" borderId="0" xfId="0" applyFont="1" applyAlignment="1">
      <alignment vertical="center"/>
    </xf>
    <xf numFmtId="0" fontId="15" fillId="0" borderId="3" xfId="0" applyFont="1" applyFill="1" applyBorder="1" applyAlignment="1">
      <alignment wrapText="1"/>
    </xf>
    <xf numFmtId="0" fontId="12" fillId="0" borderId="3" xfId="12" applyFill="1" applyBorder="1" applyAlignment="1">
      <alignment horizontal="center" vertical="center"/>
    </xf>
    <xf numFmtId="0" fontId="12" fillId="0" borderId="3" xfId="12" applyFill="1" applyBorder="1" applyAlignment="1">
      <alignment horizontal="left" vertical="center"/>
    </xf>
    <xf numFmtId="0" fontId="3" fillId="0" borderId="3" xfId="13" applyFont="1" applyFill="1" applyBorder="1" applyAlignment="1">
      <alignment vertical="center"/>
    </xf>
    <xf numFmtId="0" fontId="2" fillId="0" borderId="3" xfId="13" applyFont="1" applyFill="1" applyBorder="1" applyAlignment="1">
      <alignment horizontal="center" vertical="center"/>
    </xf>
    <xf numFmtId="0" fontId="2" fillId="0" borderId="3" xfId="13" applyFont="1" applyFill="1" applyBorder="1" applyAlignment="1">
      <alignment vertical="center" wrapText="1"/>
    </xf>
    <xf numFmtId="0" fontId="31" fillId="0" borderId="40" xfId="12" applyFont="1" applyFill="1" applyBorder="1" applyAlignment="1">
      <alignment horizontal="right" vertical="center"/>
    </xf>
    <xf numFmtId="0" fontId="31" fillId="0" borderId="41" xfId="12" applyFont="1" applyFill="1" applyBorder="1" applyAlignment="1">
      <alignment horizontal="right" vertical="center"/>
    </xf>
    <xf numFmtId="43" fontId="31" fillId="0" borderId="44" xfId="12" applyNumberFormat="1" applyFont="1" applyFill="1" applyBorder="1"/>
    <xf numFmtId="0" fontId="1" fillId="0" borderId="3" xfId="13" applyFont="1" applyFill="1" applyBorder="1" applyAlignment="1">
      <alignment vertical="center" wrapText="1"/>
    </xf>
    <xf numFmtId="0" fontId="21" fillId="2" borderId="13" xfId="1" applyFont="1" applyFill="1" applyBorder="1" applyAlignment="1">
      <alignment horizontal="center" vertical="center"/>
    </xf>
    <xf numFmtId="0" fontId="21" fillId="2" borderId="14" xfId="1" applyFont="1" applyFill="1" applyBorder="1" applyAlignment="1">
      <alignment horizontal="center" vertical="center"/>
    </xf>
    <xf numFmtId="165" fontId="22" fillId="3" borderId="13" xfId="2" applyNumberFormat="1" applyFont="1" applyFill="1" applyBorder="1" applyAlignment="1">
      <alignment horizontal="right" vertical="center"/>
    </xf>
    <xf numFmtId="165" fontId="22" fillId="3" borderId="14" xfId="2" applyNumberFormat="1" applyFont="1" applyFill="1" applyBorder="1" applyAlignment="1">
      <alignment horizontal="right" vertical="center"/>
    </xf>
    <xf numFmtId="165" fontId="22" fillId="3" borderId="33" xfId="2" applyNumberFormat="1" applyFont="1" applyFill="1" applyBorder="1" applyAlignment="1">
      <alignment horizontal="right" vertical="center"/>
    </xf>
    <xf numFmtId="165" fontId="22" fillId="3" borderId="15" xfId="2" applyNumberFormat="1" applyFont="1" applyFill="1" applyBorder="1" applyAlignment="1">
      <alignment horizontal="right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16" xfId="0" applyFont="1" applyFill="1" applyBorder="1" applyAlignment="1">
      <alignment horizontal="right" vertical="center"/>
    </xf>
    <xf numFmtId="165" fontId="22" fillId="3" borderId="40" xfId="2" applyNumberFormat="1" applyFont="1" applyFill="1" applyBorder="1" applyAlignment="1">
      <alignment horizontal="right" vertical="center"/>
    </xf>
    <xf numFmtId="165" fontId="22" fillId="3" borderId="41" xfId="2" applyNumberFormat="1" applyFont="1" applyFill="1" applyBorder="1" applyAlignment="1">
      <alignment horizontal="right" vertical="center"/>
    </xf>
    <xf numFmtId="165" fontId="22" fillId="3" borderId="42" xfId="2" applyNumberFormat="1" applyFont="1" applyFill="1" applyBorder="1" applyAlignment="1">
      <alignment horizontal="right" vertical="center"/>
    </xf>
    <xf numFmtId="0" fontId="16" fillId="0" borderId="18" xfId="0" applyFont="1" applyFill="1" applyBorder="1" applyAlignment="1">
      <alignment horizontal="center" vertical="center"/>
    </xf>
    <xf numFmtId="0" fontId="16" fillId="0" borderId="19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3" xfId="0" applyFont="1" applyFill="1" applyBorder="1" applyAlignment="1">
      <alignment horizontal="right" vertical="center"/>
    </xf>
    <xf numFmtId="165" fontId="12" fillId="0" borderId="43" xfId="2" applyNumberFormat="1" applyFont="1" applyFill="1" applyBorder="1" applyAlignment="1">
      <alignment horizontal="left" vertical="top"/>
    </xf>
    <xf numFmtId="165" fontId="12" fillId="0" borderId="41" xfId="2" applyNumberFormat="1" applyFont="1" applyFill="1" applyBorder="1" applyAlignment="1">
      <alignment horizontal="left" vertical="top"/>
    </xf>
    <xf numFmtId="165" fontId="12" fillId="0" borderId="44" xfId="2" applyNumberFormat="1" applyFont="1" applyFill="1" applyBorder="1" applyAlignment="1">
      <alignment horizontal="left" vertical="top"/>
    </xf>
    <xf numFmtId="165" fontId="12" fillId="0" borderId="46" xfId="2" applyNumberFormat="1" applyFont="1" applyFill="1" applyBorder="1" applyAlignment="1">
      <alignment horizontal="left" vertical="top"/>
    </xf>
    <xf numFmtId="165" fontId="12" fillId="0" borderId="0" xfId="2" applyNumberFormat="1" applyFont="1" applyFill="1" applyBorder="1" applyAlignment="1">
      <alignment horizontal="left" vertical="top"/>
    </xf>
    <xf numFmtId="165" fontId="12" fillId="0" borderId="12" xfId="2" applyNumberFormat="1" applyFont="1" applyFill="1" applyBorder="1" applyAlignment="1">
      <alignment horizontal="left" vertical="top"/>
    </xf>
    <xf numFmtId="165" fontId="12" fillId="0" borderId="48" xfId="2" applyNumberFormat="1" applyFont="1" applyFill="1" applyBorder="1" applyAlignment="1">
      <alignment horizontal="left" vertical="top"/>
    </xf>
    <xf numFmtId="165" fontId="12" fillId="0" borderId="38" xfId="2" applyNumberFormat="1" applyFont="1" applyFill="1" applyBorder="1" applyAlignment="1">
      <alignment horizontal="left" vertical="top"/>
    </xf>
    <xf numFmtId="165" fontId="12" fillId="0" borderId="39" xfId="2" applyNumberFormat="1" applyFont="1" applyFill="1" applyBorder="1" applyAlignment="1">
      <alignment horizontal="left" vertical="top"/>
    </xf>
    <xf numFmtId="0" fontId="12" fillId="0" borderId="40" xfId="0" applyFont="1" applyFill="1" applyBorder="1" applyAlignment="1">
      <alignment horizontal="left" vertical="top"/>
    </xf>
    <xf numFmtId="0" fontId="12" fillId="0" borderId="41" xfId="0" applyFont="1" applyFill="1" applyBorder="1" applyAlignment="1">
      <alignment horizontal="left" vertical="top"/>
    </xf>
    <xf numFmtId="0" fontId="12" fillId="0" borderId="42" xfId="0" applyFont="1" applyFill="1" applyBorder="1" applyAlignment="1">
      <alignment horizontal="left" vertical="top"/>
    </xf>
    <xf numFmtId="0" fontId="12" fillId="0" borderId="7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/>
    </xf>
    <xf numFmtId="0" fontId="12" fillId="0" borderId="45" xfId="0" applyFont="1" applyFill="1" applyBorder="1" applyAlignment="1">
      <alignment horizontal="left" vertical="top"/>
    </xf>
    <xf numFmtId="0" fontId="12" fillId="0" borderId="37" xfId="0" applyFont="1" applyFill="1" applyBorder="1" applyAlignment="1">
      <alignment horizontal="left" vertical="top"/>
    </xf>
    <xf numFmtId="0" fontId="12" fillId="0" borderId="38" xfId="0" applyFont="1" applyFill="1" applyBorder="1" applyAlignment="1">
      <alignment horizontal="left" vertical="top"/>
    </xf>
    <xf numFmtId="0" fontId="12" fillId="0" borderId="47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center" vertical="center"/>
    </xf>
    <xf numFmtId="0" fontId="13" fillId="0" borderId="50" xfId="0" applyFont="1" applyBorder="1" applyAlignment="1">
      <alignment horizontal="left" vertical="center"/>
    </xf>
    <xf numFmtId="0" fontId="13" fillId="0" borderId="51" xfId="0" applyFont="1" applyBorder="1" applyAlignment="1">
      <alignment horizontal="left" vertical="center"/>
    </xf>
    <xf numFmtId="0" fontId="13" fillId="0" borderId="52" xfId="0" applyFont="1" applyBorder="1" applyAlignment="1">
      <alignment horizontal="left" vertical="center"/>
    </xf>
    <xf numFmtId="10" fontId="13" fillId="0" borderId="54" xfId="3" applyNumberFormat="1" applyFont="1" applyFill="1" applyBorder="1" applyAlignment="1">
      <alignment horizontal="center" vertical="center" wrapText="1"/>
    </xf>
    <xf numFmtId="10" fontId="13" fillId="0" borderId="68" xfId="3" applyNumberFormat="1" applyFont="1" applyFill="1" applyBorder="1" applyAlignment="1">
      <alignment horizontal="center" vertical="center" wrapText="1"/>
    </xf>
    <xf numFmtId="10" fontId="13" fillId="0" borderId="48" xfId="3" applyNumberFormat="1" applyFont="1" applyFill="1" applyBorder="1" applyAlignment="1">
      <alignment horizontal="center" vertical="center" wrapText="1"/>
    </xf>
    <xf numFmtId="10" fontId="13" fillId="0" borderId="39" xfId="3" applyNumberFormat="1" applyFont="1" applyFill="1" applyBorder="1" applyAlignment="1">
      <alignment horizontal="center" vertical="center" wrapText="1"/>
    </xf>
    <xf numFmtId="0" fontId="13" fillId="0" borderId="54" xfId="1" applyFont="1" applyBorder="1" applyAlignment="1">
      <alignment horizontal="center" vertical="center"/>
    </xf>
    <xf numFmtId="0" fontId="13" fillId="0" borderId="26" xfId="1" applyFont="1" applyBorder="1" applyAlignment="1">
      <alignment horizontal="center" vertical="center"/>
    </xf>
    <xf numFmtId="0" fontId="13" fillId="0" borderId="48" xfId="1" applyFont="1" applyBorder="1" applyAlignment="1">
      <alignment horizontal="center" vertical="center"/>
    </xf>
    <xf numFmtId="0" fontId="13" fillId="0" borderId="47" xfId="1" applyFont="1" applyBorder="1" applyAlignment="1">
      <alignment horizontal="center" vertical="center"/>
    </xf>
    <xf numFmtId="0" fontId="13" fillId="0" borderId="25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9" xfId="0" applyFont="1" applyBorder="1" applyAlignment="1">
      <alignment horizontal="left" vertical="center"/>
    </xf>
    <xf numFmtId="0" fontId="13" fillId="0" borderId="53" xfId="1" applyFont="1" applyBorder="1" applyAlignment="1">
      <alignment horizontal="center" vertical="distributed" wrapText="1"/>
    </xf>
    <xf numFmtId="0" fontId="13" fillId="0" borderId="31" xfId="1" applyFont="1" applyBorder="1" applyAlignment="1">
      <alignment horizontal="center" vertical="distributed" wrapText="1"/>
    </xf>
    <xf numFmtId="0" fontId="13" fillId="0" borderId="28" xfId="1" applyFont="1" applyBorder="1" applyAlignment="1">
      <alignment horizontal="center" vertical="distributed" wrapText="1"/>
    </xf>
    <xf numFmtId="0" fontId="24" fillId="0" borderId="27" xfId="1" applyFont="1" applyBorder="1" applyAlignment="1">
      <alignment horizontal="left" vertical="distributed" wrapText="1"/>
    </xf>
    <xf numFmtId="0" fontId="24" fillId="0" borderId="29" xfId="1" applyFont="1" applyBorder="1" applyAlignment="1">
      <alignment horizontal="left" vertical="distributed" wrapText="1"/>
    </xf>
    <xf numFmtId="0" fontId="24" fillId="0" borderId="28" xfId="1" applyFont="1" applyBorder="1" applyAlignment="1">
      <alignment horizontal="left" vertical="distributed" wrapText="1"/>
    </xf>
    <xf numFmtId="0" fontId="21" fillId="2" borderId="15" xfId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165" fontId="22" fillId="3" borderId="4" xfId="2" applyNumberFormat="1" applyFont="1" applyFill="1" applyBorder="1" applyAlignment="1">
      <alignment horizontal="right" vertical="center"/>
    </xf>
    <xf numFmtId="165" fontId="22" fillId="3" borderId="5" xfId="2" applyNumberFormat="1" applyFont="1" applyFill="1" applyBorder="1" applyAlignment="1">
      <alignment horizontal="right" vertical="center"/>
    </xf>
    <xf numFmtId="0" fontId="12" fillId="0" borderId="8" xfId="0" applyFont="1" applyFill="1" applyBorder="1" applyAlignment="1">
      <alignment horizontal="left" vertical="top"/>
    </xf>
    <xf numFmtId="0" fontId="12" fillId="0" borderId="1" xfId="0" applyFont="1" applyFill="1" applyBorder="1" applyAlignment="1">
      <alignment horizontal="left" vertical="top"/>
    </xf>
    <xf numFmtId="0" fontId="12" fillId="0" borderId="9" xfId="0" applyFont="1" applyFill="1" applyBorder="1" applyAlignment="1">
      <alignment horizontal="left" vertical="top"/>
    </xf>
    <xf numFmtId="0" fontId="12" fillId="0" borderId="3" xfId="0" applyFont="1" applyFill="1" applyBorder="1" applyAlignment="1">
      <alignment horizontal="left" vertical="top"/>
    </xf>
    <xf numFmtId="0" fontId="12" fillId="0" borderId="11" xfId="0" applyFont="1" applyFill="1" applyBorder="1" applyAlignment="1">
      <alignment horizontal="left" vertical="top"/>
    </xf>
    <xf numFmtId="0" fontId="12" fillId="0" borderId="16" xfId="0" applyFont="1" applyFill="1" applyBorder="1" applyAlignment="1">
      <alignment horizontal="left" vertical="top"/>
    </xf>
    <xf numFmtId="165" fontId="12" fillId="0" borderId="1" xfId="2" applyNumberFormat="1" applyFont="1" applyFill="1" applyBorder="1" applyAlignment="1">
      <alignment horizontal="left" vertical="top"/>
    </xf>
    <xf numFmtId="165" fontId="12" fillId="0" borderId="2" xfId="2" applyNumberFormat="1" applyFont="1" applyFill="1" applyBorder="1" applyAlignment="1">
      <alignment horizontal="left" vertical="top"/>
    </xf>
    <xf numFmtId="165" fontId="12" fillId="0" borderId="3" xfId="2" applyNumberFormat="1" applyFont="1" applyFill="1" applyBorder="1" applyAlignment="1">
      <alignment horizontal="left" vertical="top"/>
    </xf>
    <xf numFmtId="165" fontId="12" fillId="0" borderId="10" xfId="2" applyNumberFormat="1" applyFont="1" applyFill="1" applyBorder="1" applyAlignment="1">
      <alignment horizontal="left" vertical="top"/>
    </xf>
    <xf numFmtId="165" fontId="12" fillId="0" borderId="16" xfId="2" applyNumberFormat="1" applyFont="1" applyFill="1" applyBorder="1" applyAlignment="1">
      <alignment horizontal="left" vertical="top"/>
    </xf>
    <xf numFmtId="165" fontId="12" fillId="0" borderId="17" xfId="2" applyNumberFormat="1" applyFont="1" applyFill="1" applyBorder="1" applyAlignment="1">
      <alignment horizontal="left" vertical="top"/>
    </xf>
    <xf numFmtId="0" fontId="13" fillId="0" borderId="9" xfId="0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/>
    </xf>
    <xf numFmtId="0" fontId="13" fillId="0" borderId="3" xfId="1" applyFont="1" applyBorder="1" applyAlignment="1">
      <alignment horizontal="center" vertical="center"/>
    </xf>
    <xf numFmtId="0" fontId="13" fillId="0" borderId="16" xfId="1" applyFont="1" applyBorder="1" applyAlignment="1">
      <alignment horizontal="center" vertical="center"/>
    </xf>
    <xf numFmtId="10" fontId="13" fillId="0" borderId="3" xfId="3" applyNumberFormat="1" applyFont="1" applyFill="1" applyBorder="1" applyAlignment="1">
      <alignment horizontal="center" vertical="center" wrapText="1"/>
    </xf>
    <xf numFmtId="10" fontId="13" fillId="0" borderId="10" xfId="3" applyNumberFormat="1" applyFont="1" applyFill="1" applyBorder="1" applyAlignment="1">
      <alignment horizontal="center" vertical="center" wrapText="1"/>
    </xf>
    <xf numFmtId="10" fontId="13" fillId="0" borderId="16" xfId="3" applyNumberFormat="1" applyFont="1" applyFill="1" applyBorder="1" applyAlignment="1">
      <alignment horizontal="center" vertical="center" wrapText="1"/>
    </xf>
    <xf numFmtId="10" fontId="13" fillId="0" borderId="17" xfId="3" applyNumberFormat="1" applyFont="1" applyFill="1" applyBorder="1" applyAlignment="1">
      <alignment horizontal="center" vertical="center" wrapText="1"/>
    </xf>
    <xf numFmtId="0" fontId="13" fillId="0" borderId="11" xfId="0" applyFont="1" applyBorder="1" applyAlignment="1">
      <alignment horizontal="left" vertical="center"/>
    </xf>
    <xf numFmtId="0" fontId="13" fillId="0" borderId="16" xfId="0" applyFont="1" applyBorder="1" applyAlignment="1">
      <alignment horizontal="left" vertical="center"/>
    </xf>
    <xf numFmtId="0" fontId="13" fillId="28" borderId="18" xfId="0" applyFont="1" applyFill="1" applyBorder="1" applyAlignment="1">
      <alignment horizontal="center" vertical="center"/>
    </xf>
    <xf numFmtId="0" fontId="13" fillId="28" borderId="24" xfId="0" applyFont="1" applyFill="1" applyBorder="1" applyAlignment="1">
      <alignment horizontal="center" vertical="center"/>
    </xf>
    <xf numFmtId="0" fontId="13" fillId="28" borderId="19" xfId="0" applyFont="1" applyFill="1" applyBorder="1" applyAlignment="1">
      <alignment horizontal="center" vertical="center"/>
    </xf>
    <xf numFmtId="0" fontId="24" fillId="0" borderId="8" xfId="1" applyFont="1" applyBorder="1" applyAlignment="1">
      <alignment horizontal="left" vertical="distributed" wrapText="1"/>
    </xf>
    <xf numFmtId="0" fontId="24" fillId="0" borderId="1" xfId="1" applyFont="1" applyBorder="1" applyAlignment="1">
      <alignment horizontal="left" vertical="distributed" wrapText="1"/>
    </xf>
    <xf numFmtId="0" fontId="13" fillId="0" borderId="1" xfId="1" applyFont="1" applyBorder="1" applyAlignment="1">
      <alignment horizontal="center" vertical="distributed" wrapText="1"/>
    </xf>
    <xf numFmtId="0" fontId="13" fillId="0" borderId="2" xfId="1" applyFont="1" applyBorder="1" applyAlignment="1">
      <alignment horizontal="center" vertical="distributed" wrapText="1"/>
    </xf>
    <xf numFmtId="0" fontId="28" fillId="0" borderId="13" xfId="12" applyFont="1" applyFill="1" applyBorder="1" applyAlignment="1">
      <alignment horizontal="center" vertical="center"/>
    </xf>
    <xf numFmtId="0" fontId="28" fillId="0" borderId="14" xfId="12" applyFont="1" applyFill="1" applyBorder="1" applyAlignment="1">
      <alignment horizontal="center" vertical="center"/>
    </xf>
    <xf numFmtId="0" fontId="28" fillId="0" borderId="15" xfId="12" applyFont="1" applyFill="1" applyBorder="1" applyAlignment="1">
      <alignment horizontal="center" vertical="center"/>
    </xf>
    <xf numFmtId="0" fontId="31" fillId="0" borderId="13" xfId="12" applyFont="1" applyFill="1" applyBorder="1" applyAlignment="1">
      <alignment horizontal="right" vertical="center"/>
    </xf>
    <xf numFmtId="0" fontId="31" fillId="0" borderId="14" xfId="12" applyFont="1" applyFill="1" applyBorder="1" applyAlignment="1">
      <alignment horizontal="right" vertical="center"/>
    </xf>
    <xf numFmtId="0" fontId="31" fillId="0" borderId="15" xfId="12" applyFont="1" applyFill="1" applyBorder="1" applyAlignment="1">
      <alignment horizontal="right" vertical="center"/>
    </xf>
    <xf numFmtId="0" fontId="28" fillId="6" borderId="27" xfId="12" applyFont="1" applyFill="1" applyBorder="1" applyAlignment="1">
      <alignment horizontal="center" wrapText="1"/>
    </xf>
    <xf numFmtId="0" fontId="28" fillId="6" borderId="29" xfId="12" applyFont="1" applyFill="1" applyBorder="1" applyAlignment="1">
      <alignment horizontal="center" wrapText="1"/>
    </xf>
    <xf numFmtId="0" fontId="28" fillId="6" borderId="31" xfId="12" applyFont="1" applyFill="1" applyBorder="1" applyAlignment="1">
      <alignment horizontal="center" wrapText="1"/>
    </xf>
    <xf numFmtId="0" fontId="28" fillId="0" borderId="13" xfId="12" applyFont="1" applyFill="1" applyBorder="1" applyAlignment="1">
      <alignment horizontal="center"/>
    </xf>
    <xf numFmtId="0" fontId="28" fillId="0" borderId="14" xfId="12" applyFont="1" applyFill="1" applyBorder="1" applyAlignment="1">
      <alignment horizontal="center"/>
    </xf>
    <xf numFmtId="0" fontId="28" fillId="0" borderId="15" xfId="12" applyFont="1" applyFill="1" applyBorder="1" applyAlignment="1">
      <alignment horizontal="center"/>
    </xf>
    <xf numFmtId="0" fontId="24" fillId="0" borderId="53" xfId="1" applyFont="1" applyBorder="1" applyAlignment="1">
      <alignment horizontal="center" vertical="distributed" wrapText="1"/>
    </xf>
    <xf numFmtId="0" fontId="24" fillId="0" borderId="28" xfId="1" applyFont="1" applyBorder="1" applyAlignment="1">
      <alignment horizontal="center" vertical="distributed" wrapText="1"/>
    </xf>
    <xf numFmtId="0" fontId="13" fillId="0" borderId="54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3" fillId="0" borderId="48" xfId="0" applyFont="1" applyBorder="1" applyAlignment="1">
      <alignment horizontal="center" vertical="center"/>
    </xf>
    <xf numFmtId="0" fontId="13" fillId="0" borderId="47" xfId="0" applyFont="1" applyBorder="1" applyAlignment="1">
      <alignment horizontal="center" vertical="center"/>
    </xf>
    <xf numFmtId="0" fontId="28" fillId="0" borderId="13" xfId="12" applyFont="1" applyBorder="1" applyAlignment="1">
      <alignment horizontal="center"/>
    </xf>
    <xf numFmtId="0" fontId="28" fillId="0" borderId="14" xfId="12" applyFont="1" applyBorder="1" applyAlignment="1">
      <alignment horizontal="center"/>
    </xf>
    <xf numFmtId="0" fontId="28" fillId="0" borderId="15" xfId="12" applyFont="1" applyBorder="1" applyAlignment="1">
      <alignment horizontal="center"/>
    </xf>
    <xf numFmtId="10" fontId="13" fillId="0" borderId="3" xfId="1" applyNumberFormat="1" applyFont="1" applyBorder="1" applyAlignment="1">
      <alignment horizontal="center" vertical="center"/>
    </xf>
    <xf numFmtId="0" fontId="12" fillId="0" borderId="44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top"/>
    </xf>
    <xf numFmtId="0" fontId="12" fillId="0" borderId="39" xfId="0" applyFont="1" applyFill="1" applyBorder="1" applyAlignment="1">
      <alignment horizontal="left" vertical="top"/>
    </xf>
    <xf numFmtId="165" fontId="12" fillId="0" borderId="40" xfId="2" applyNumberFormat="1" applyFont="1" applyFill="1" applyBorder="1" applyAlignment="1">
      <alignment horizontal="left" vertical="top"/>
    </xf>
    <xf numFmtId="165" fontId="12" fillId="0" borderId="7" xfId="2" applyNumberFormat="1" applyFont="1" applyFill="1" applyBorder="1" applyAlignment="1">
      <alignment horizontal="left" vertical="top"/>
    </xf>
    <xf numFmtId="165" fontId="12" fillId="0" borderId="37" xfId="2" applyNumberFormat="1" applyFont="1" applyFill="1" applyBorder="1" applyAlignment="1">
      <alignment horizontal="left" vertical="top"/>
    </xf>
    <xf numFmtId="0" fontId="18" fillId="0" borderId="8" xfId="32" applyFont="1" applyFill="1" applyBorder="1" applyAlignment="1">
      <alignment horizontal="center" vertical="center"/>
    </xf>
    <xf numFmtId="0" fontId="18" fillId="0" borderId="11" xfId="32" applyFont="1" applyFill="1" applyBorder="1" applyAlignment="1">
      <alignment horizontal="center" vertical="center"/>
    </xf>
    <xf numFmtId="0" fontId="13" fillId="0" borderId="1" xfId="32" applyFont="1" applyFill="1" applyBorder="1" applyAlignment="1">
      <alignment horizontal="center" vertical="center" wrapText="1"/>
    </xf>
    <xf numFmtId="0" fontId="13" fillId="0" borderId="16" xfId="32" applyFont="1" applyFill="1" applyBorder="1" applyAlignment="1">
      <alignment horizontal="center" vertical="center" wrapText="1"/>
    </xf>
    <xf numFmtId="0" fontId="12" fillId="0" borderId="8" xfId="32" applyFont="1" applyFill="1" applyBorder="1" applyAlignment="1">
      <alignment horizontal="left" vertical="top"/>
    </xf>
    <xf numFmtId="0" fontId="12" fillId="0" borderId="1" xfId="32" applyFont="1" applyFill="1" applyBorder="1" applyAlignment="1">
      <alignment horizontal="left" vertical="top"/>
    </xf>
    <xf numFmtId="0" fontId="12" fillId="0" borderId="9" xfId="32" applyFont="1" applyFill="1" applyBorder="1" applyAlignment="1">
      <alignment horizontal="left" vertical="top"/>
    </xf>
    <xf numFmtId="0" fontId="12" fillId="0" borderId="3" xfId="32" applyFont="1" applyFill="1" applyBorder="1" applyAlignment="1">
      <alignment horizontal="left" vertical="top"/>
    </xf>
    <xf numFmtId="0" fontId="12" fillId="0" borderId="11" xfId="32" applyFont="1" applyFill="1" applyBorder="1" applyAlignment="1">
      <alignment horizontal="left" vertical="top"/>
    </xf>
    <xf numFmtId="0" fontId="12" fillId="0" borderId="16" xfId="32" applyFont="1" applyFill="1" applyBorder="1" applyAlignment="1">
      <alignment horizontal="left" vertical="top"/>
    </xf>
    <xf numFmtId="165" fontId="12" fillId="0" borderId="53" xfId="2" applyNumberFormat="1" applyFont="1" applyFill="1" applyBorder="1" applyAlignment="1">
      <alignment horizontal="left" vertical="top"/>
    </xf>
    <xf numFmtId="165" fontId="12" fillId="0" borderId="18" xfId="2" applyNumberFormat="1" applyFont="1" applyFill="1" applyBorder="1" applyAlignment="1">
      <alignment horizontal="left" vertical="top"/>
    </xf>
    <xf numFmtId="165" fontId="12" fillId="0" borderId="75" xfId="2" applyNumberFormat="1" applyFont="1" applyFill="1" applyBorder="1" applyAlignment="1">
      <alignment horizontal="left" vertical="top"/>
    </xf>
    <xf numFmtId="165" fontId="22" fillId="0" borderId="27" xfId="2" applyNumberFormat="1" applyFont="1" applyFill="1" applyBorder="1" applyAlignment="1">
      <alignment horizontal="right" vertical="center"/>
    </xf>
    <xf numFmtId="165" fontId="22" fillId="0" borderId="28" xfId="2" applyNumberFormat="1" applyFont="1" applyFill="1" applyBorder="1" applyAlignment="1">
      <alignment horizontal="right" vertical="center"/>
    </xf>
    <xf numFmtId="165" fontId="22" fillId="0" borderId="25" xfId="2" applyNumberFormat="1" applyFont="1" applyFill="1" applyBorder="1" applyAlignment="1">
      <alignment horizontal="right" vertical="center"/>
    </xf>
    <xf numFmtId="165" fontId="22" fillId="0" borderId="24" xfId="2" applyNumberFormat="1" applyFont="1" applyFill="1" applyBorder="1" applyAlignment="1">
      <alignment horizontal="right" vertical="center"/>
    </xf>
    <xf numFmtId="165" fontId="22" fillId="0" borderId="19" xfId="2" applyNumberFormat="1" applyFont="1" applyFill="1" applyBorder="1" applyAlignment="1">
      <alignment horizontal="right" vertical="center"/>
    </xf>
    <xf numFmtId="165" fontId="22" fillId="0" borderId="50" xfId="2" applyNumberFormat="1" applyFont="1" applyFill="1" applyBorder="1" applyAlignment="1">
      <alignment horizontal="right" vertical="center"/>
    </xf>
    <xf numFmtId="165" fontId="22" fillId="0" borderId="51" xfId="2" applyNumberFormat="1" applyFont="1" applyFill="1" applyBorder="1" applyAlignment="1">
      <alignment horizontal="right" vertical="center"/>
    </xf>
    <xf numFmtId="165" fontId="22" fillId="0" borderId="52" xfId="2" applyNumberFormat="1" applyFont="1" applyFill="1" applyBorder="1" applyAlignment="1">
      <alignment horizontal="right" vertical="center"/>
    </xf>
    <xf numFmtId="0" fontId="22" fillId="0" borderId="0" xfId="1" applyFont="1" applyFill="1" applyBorder="1" applyAlignment="1">
      <alignment horizontal="center" vertical="center"/>
    </xf>
    <xf numFmtId="0" fontId="12" fillId="0" borderId="0" xfId="32" applyFont="1" applyFill="1" applyBorder="1" applyAlignment="1">
      <alignment horizontal="center" vertical="center"/>
    </xf>
    <xf numFmtId="0" fontId="23" fillId="0" borderId="0" xfId="32" applyFont="1" applyFill="1" applyBorder="1" applyAlignment="1">
      <alignment horizontal="center" vertical="center"/>
    </xf>
    <xf numFmtId="0" fontId="13" fillId="0" borderId="3" xfId="32" applyFont="1" applyFill="1" applyBorder="1" applyAlignment="1">
      <alignment horizontal="center" vertical="center"/>
    </xf>
    <xf numFmtId="0" fontId="13" fillId="0" borderId="20" xfId="1" applyFont="1" applyFill="1" applyBorder="1" applyAlignment="1">
      <alignment horizontal="center" vertical="center" wrapText="1"/>
    </xf>
    <xf numFmtId="0" fontId="13" fillId="0" borderId="21" xfId="1" applyFont="1" applyFill="1" applyBorder="1" applyAlignment="1">
      <alignment horizontal="center" vertical="center" wrapText="1"/>
    </xf>
    <xf numFmtId="0" fontId="13" fillId="0" borderId="22" xfId="1" applyFont="1" applyFill="1" applyBorder="1" applyAlignment="1">
      <alignment horizontal="center" vertical="center" wrapText="1"/>
    </xf>
    <xf numFmtId="0" fontId="22" fillId="2" borderId="13" xfId="1" applyFont="1" applyFill="1" applyBorder="1" applyAlignment="1">
      <alignment horizontal="center" vertical="center"/>
    </xf>
    <xf numFmtId="0" fontId="22" fillId="2" borderId="14" xfId="1" applyFont="1" applyFill="1" applyBorder="1" applyAlignment="1">
      <alignment horizontal="center" vertical="center"/>
    </xf>
    <xf numFmtId="0" fontId="22" fillId="2" borderId="15" xfId="1" applyFont="1" applyFill="1" applyBorder="1" applyAlignment="1">
      <alignment horizontal="center" vertical="center"/>
    </xf>
    <xf numFmtId="0" fontId="13" fillId="0" borderId="53" xfId="1" applyFont="1" applyBorder="1" applyAlignment="1">
      <alignment horizontal="center" vertical="center" wrapText="1"/>
    </xf>
    <xf numFmtId="0" fontId="13" fillId="0" borderId="28" xfId="1" applyFont="1" applyBorder="1" applyAlignment="1">
      <alignment horizontal="center" vertical="center" wrapText="1"/>
    </xf>
    <xf numFmtId="0" fontId="13" fillId="0" borderId="31" xfId="1" applyFont="1" applyBorder="1" applyAlignment="1">
      <alignment horizontal="center" vertical="center" wrapText="1"/>
    </xf>
    <xf numFmtId="10" fontId="13" fillId="0" borderId="54" xfId="97" applyNumberFormat="1" applyFont="1" applyFill="1" applyBorder="1" applyAlignment="1">
      <alignment horizontal="center" vertical="center" wrapText="1"/>
    </xf>
    <xf numFmtId="10" fontId="13" fillId="0" borderId="68" xfId="97" applyNumberFormat="1" applyFont="1" applyFill="1" applyBorder="1" applyAlignment="1">
      <alignment horizontal="center" vertical="center" wrapText="1"/>
    </xf>
    <xf numFmtId="10" fontId="13" fillId="0" borderId="48" xfId="97" applyNumberFormat="1" applyFont="1" applyFill="1" applyBorder="1" applyAlignment="1">
      <alignment horizontal="center" vertical="center" wrapText="1"/>
    </xf>
    <xf numFmtId="10" fontId="13" fillId="0" borderId="39" xfId="97" applyNumberFormat="1" applyFont="1" applyFill="1" applyBorder="1" applyAlignment="1">
      <alignment horizontal="center" vertical="center" wrapText="1"/>
    </xf>
    <xf numFmtId="0" fontId="13" fillId="0" borderId="73" xfId="32" applyFont="1" applyBorder="1" applyAlignment="1">
      <alignment horizontal="left" vertical="center"/>
    </xf>
    <xf numFmtId="0" fontId="13" fillId="0" borderId="79" xfId="32" applyFont="1" applyBorder="1" applyAlignment="1">
      <alignment horizontal="left" vertical="center"/>
    </xf>
    <xf numFmtId="0" fontId="13" fillId="0" borderId="26" xfId="32" applyFont="1" applyBorder="1" applyAlignment="1">
      <alignment horizontal="left" vertical="center"/>
    </xf>
    <xf numFmtId="0" fontId="13" fillId="0" borderId="37" xfId="32" applyFont="1" applyBorder="1" applyAlignment="1">
      <alignment horizontal="left" vertical="center"/>
    </xf>
    <xf numFmtId="0" fontId="13" fillId="0" borderId="38" xfId="32" applyFont="1" applyBorder="1" applyAlignment="1">
      <alignment horizontal="left" vertical="center"/>
    </xf>
    <xf numFmtId="0" fontId="13" fillId="0" borderId="47" xfId="32" applyFont="1" applyBorder="1" applyAlignment="1">
      <alignment horizontal="left" vertical="center"/>
    </xf>
    <xf numFmtId="0" fontId="12" fillId="0" borderId="40" xfId="105" applyFont="1" applyFill="1" applyBorder="1" applyAlignment="1">
      <alignment horizontal="left" vertical="top"/>
    </xf>
    <xf numFmtId="0" fontId="12" fillId="0" borderId="41" xfId="105" applyFont="1" applyFill="1" applyBorder="1" applyAlignment="1">
      <alignment horizontal="left" vertical="top"/>
    </xf>
    <xf numFmtId="0" fontId="12" fillId="0" borderId="42" xfId="105" applyFont="1" applyFill="1" applyBorder="1" applyAlignment="1">
      <alignment horizontal="left" vertical="top"/>
    </xf>
    <xf numFmtId="0" fontId="12" fillId="0" borderId="7" xfId="105" applyFont="1" applyFill="1" applyBorder="1" applyAlignment="1">
      <alignment horizontal="left" vertical="top"/>
    </xf>
    <xf numFmtId="0" fontId="12" fillId="0" borderId="0" xfId="105" applyFont="1" applyFill="1" applyBorder="1" applyAlignment="1">
      <alignment horizontal="left" vertical="top"/>
    </xf>
    <xf numFmtId="0" fontId="12" fillId="0" borderId="45" xfId="105" applyFont="1" applyFill="1" applyBorder="1" applyAlignment="1">
      <alignment horizontal="left" vertical="top"/>
    </xf>
    <xf numFmtId="0" fontId="12" fillId="0" borderId="37" xfId="105" applyFont="1" applyFill="1" applyBorder="1" applyAlignment="1">
      <alignment horizontal="left" vertical="top"/>
    </xf>
    <xf numFmtId="0" fontId="12" fillId="0" borderId="38" xfId="105" applyFont="1" applyFill="1" applyBorder="1" applyAlignment="1">
      <alignment horizontal="left" vertical="top"/>
    </xf>
    <xf numFmtId="0" fontId="12" fillId="0" borderId="47" xfId="105" applyFont="1" applyFill="1" applyBorder="1" applyAlignment="1">
      <alignment horizontal="left" vertical="top"/>
    </xf>
    <xf numFmtId="0" fontId="12" fillId="0" borderId="43" xfId="105" applyFont="1" applyFill="1" applyBorder="1" applyAlignment="1">
      <alignment horizontal="left" vertical="top"/>
    </xf>
    <xf numFmtId="0" fontId="12" fillId="0" borderId="44" xfId="105" applyFont="1" applyFill="1" applyBorder="1" applyAlignment="1">
      <alignment horizontal="left" vertical="top"/>
    </xf>
    <xf numFmtId="0" fontId="12" fillId="0" borderId="46" xfId="105" applyFont="1" applyFill="1" applyBorder="1" applyAlignment="1">
      <alignment horizontal="left" vertical="top"/>
    </xf>
    <xf numFmtId="0" fontId="12" fillId="0" borderId="12" xfId="105" applyFont="1" applyFill="1" applyBorder="1" applyAlignment="1">
      <alignment horizontal="left" vertical="top"/>
    </xf>
    <xf numFmtId="0" fontId="12" fillId="0" borderId="48" xfId="105" applyFont="1" applyFill="1" applyBorder="1" applyAlignment="1">
      <alignment horizontal="left" vertical="top"/>
    </xf>
    <xf numFmtId="0" fontId="12" fillId="0" borderId="39" xfId="105" applyFont="1" applyFill="1" applyBorder="1" applyAlignment="1">
      <alignment horizontal="left" vertical="top"/>
    </xf>
    <xf numFmtId="0" fontId="34" fillId="0" borderId="34" xfId="105" applyFont="1" applyBorder="1" applyAlignment="1">
      <alignment horizontal="left" vertical="center"/>
    </xf>
    <xf numFmtId="0" fontId="34" fillId="0" borderId="35" xfId="105" applyFont="1" applyBorder="1" applyAlignment="1">
      <alignment horizontal="left" vertical="center"/>
    </xf>
    <xf numFmtId="0" fontId="34" fillId="0" borderId="36" xfId="105" applyFont="1" applyBorder="1" applyAlignment="1">
      <alignment horizontal="left" vertical="center"/>
    </xf>
    <xf numFmtId="0" fontId="34" fillId="0" borderId="18" xfId="105" applyFont="1" applyBorder="1" applyAlignment="1">
      <alignment horizontal="left" vertical="center"/>
    </xf>
    <xf numFmtId="0" fontId="34" fillId="0" borderId="24" xfId="105" applyFont="1" applyBorder="1" applyAlignment="1">
      <alignment horizontal="left" vertical="center"/>
    </xf>
    <xf numFmtId="0" fontId="34" fillId="0" borderId="19" xfId="105" applyFont="1" applyBorder="1" applyAlignment="1">
      <alignment horizontal="left" vertical="center"/>
    </xf>
    <xf numFmtId="49" fontId="35" fillId="0" borderId="18" xfId="105" applyNumberFormat="1" applyFont="1" applyBorder="1" applyAlignment="1">
      <alignment horizontal="left" vertical="center"/>
    </xf>
    <xf numFmtId="49" fontId="35" fillId="0" borderId="24" xfId="105" applyNumberFormat="1" applyFont="1" applyBorder="1" applyAlignment="1">
      <alignment horizontal="left" vertical="center"/>
    </xf>
    <xf numFmtId="49" fontId="35" fillId="0" borderId="19" xfId="105" applyNumberFormat="1" applyFont="1" applyBorder="1" applyAlignment="1">
      <alignment horizontal="left" vertical="center"/>
    </xf>
    <xf numFmtId="0" fontId="36" fillId="0" borderId="0" xfId="105" applyFont="1" applyBorder="1" applyAlignment="1">
      <alignment horizontal="center" vertical="center"/>
    </xf>
    <xf numFmtId="0" fontId="35" fillId="0" borderId="0" xfId="105" applyFont="1" applyBorder="1" applyAlignment="1">
      <alignment horizontal="center" vertical="center"/>
    </xf>
    <xf numFmtId="171" fontId="36" fillId="0" borderId="0" xfId="105" applyNumberFormat="1" applyFont="1" applyBorder="1" applyAlignment="1">
      <alignment horizontal="center" vertical="center"/>
    </xf>
    <xf numFmtId="2" fontId="35" fillId="0" borderId="0" xfId="15" applyNumberFormat="1" applyFont="1" applyBorder="1" applyAlignment="1">
      <alignment horizontal="center" vertical="center"/>
    </xf>
    <xf numFmtId="0" fontId="34" fillId="0" borderId="0" xfId="105" applyFont="1" applyBorder="1" applyAlignment="1">
      <alignment horizontal="center" vertical="center"/>
    </xf>
    <xf numFmtId="0" fontId="34" fillId="0" borderId="3" xfId="105" applyFont="1" applyBorder="1" applyAlignment="1">
      <alignment horizontal="left" vertical="center"/>
    </xf>
    <xf numFmtId="0" fontId="12" fillId="0" borderId="0" xfId="105" applyFont="1" applyFill="1" applyBorder="1" applyAlignment="1">
      <alignment horizontal="center" vertical="center"/>
    </xf>
    <xf numFmtId="0" fontId="23" fillId="0" borderId="0" xfId="105" applyFont="1" applyFill="1" applyBorder="1" applyAlignment="1">
      <alignment horizontal="center" vertical="center"/>
    </xf>
    <xf numFmtId="0" fontId="24" fillId="0" borderId="2" xfId="1" applyFont="1" applyBorder="1" applyAlignment="1">
      <alignment horizontal="left" vertical="distributed" wrapText="1"/>
    </xf>
    <xf numFmtId="0" fontId="13" fillId="0" borderId="9" xfId="105" applyFont="1" applyBorder="1" applyAlignment="1">
      <alignment horizontal="left" vertical="center"/>
    </xf>
    <xf numFmtId="0" fontId="13" fillId="0" borderId="19" xfId="105" applyFont="1" applyBorder="1" applyAlignment="1">
      <alignment horizontal="left" vertical="center"/>
    </xf>
    <xf numFmtId="0" fontId="13" fillId="0" borderId="3" xfId="105" applyFont="1" applyBorder="1" applyAlignment="1">
      <alignment horizontal="left" vertical="center"/>
    </xf>
    <xf numFmtId="0" fontId="13" fillId="0" borderId="10" xfId="105" applyFont="1" applyBorder="1" applyAlignment="1">
      <alignment horizontal="left" vertical="center"/>
    </xf>
    <xf numFmtId="0" fontId="13" fillId="0" borderId="18" xfId="105" applyFont="1" applyBorder="1" applyAlignment="1">
      <alignment horizontal="left" vertical="center"/>
    </xf>
    <xf numFmtId="0" fontId="13" fillId="0" borderId="24" xfId="105" applyFont="1" applyBorder="1" applyAlignment="1">
      <alignment horizontal="left" vertical="center"/>
    </xf>
    <xf numFmtId="0" fontId="22" fillId="4" borderId="13" xfId="32" applyFont="1" applyFill="1" applyBorder="1" applyAlignment="1">
      <alignment horizontal="center" vertical="center"/>
    </xf>
    <xf numFmtId="0" fontId="22" fillId="4" borderId="14" xfId="32" applyFont="1" applyFill="1" applyBorder="1" applyAlignment="1">
      <alignment horizontal="center" vertical="center"/>
    </xf>
    <xf numFmtId="0" fontId="22" fillId="0" borderId="0" xfId="106" applyFont="1" applyBorder="1" applyAlignment="1">
      <alignment horizontal="center"/>
    </xf>
    <xf numFmtId="0" fontId="33" fillId="0" borderId="32" xfId="105" applyFont="1" applyBorder="1" applyAlignment="1">
      <alignment horizontal="center" vertical="center"/>
    </xf>
    <xf numFmtId="0" fontId="33" fillId="0" borderId="14" xfId="105" applyFont="1" applyBorder="1" applyAlignment="1">
      <alignment horizontal="center" vertical="center"/>
    </xf>
    <xf numFmtId="0" fontId="33" fillId="0" borderId="33" xfId="105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3" xfId="0" applyBorder="1" applyAlignment="1">
      <alignment horizontal="center"/>
    </xf>
    <xf numFmtId="0" fontId="0" fillId="0" borderId="27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53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3" fillId="0" borderId="76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54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16" xfId="0" applyFont="1" applyBorder="1" applyAlignment="1">
      <alignment horizontal="center"/>
    </xf>
    <xf numFmtId="0" fontId="12" fillId="0" borderId="21" xfId="0" applyFont="1" applyBorder="1" applyAlignment="1">
      <alignment horizontal="center"/>
    </xf>
  </cellXfs>
  <cellStyles count="232">
    <cellStyle name="0,0_x000d__x000a_NA_x000d__x000a_" xfId="109" xr:uid="{00000000-0005-0000-0000-000000000000}"/>
    <cellStyle name="0,0_x000d__x000a_NA_x000d__x000a_ 2" xfId="110" xr:uid="{00000000-0005-0000-0000-000001000000}"/>
    <cellStyle name="0,0_x000d__x000a_NA_x000d__x000a_ 3" xfId="111" xr:uid="{00000000-0005-0000-0000-000002000000}"/>
    <cellStyle name="20% - Ênfase1 2" xfId="112" xr:uid="{00000000-0005-0000-0000-000003000000}"/>
    <cellStyle name="20% - Ênfase2 2" xfId="113" xr:uid="{00000000-0005-0000-0000-000004000000}"/>
    <cellStyle name="20% - Ênfase3 2" xfId="114" xr:uid="{00000000-0005-0000-0000-000005000000}"/>
    <cellStyle name="20% - Ênfase4 2" xfId="115" xr:uid="{00000000-0005-0000-0000-000006000000}"/>
    <cellStyle name="20% - Ênfase5 2" xfId="116" xr:uid="{00000000-0005-0000-0000-000007000000}"/>
    <cellStyle name="20% - Ênfase6 2" xfId="117" xr:uid="{00000000-0005-0000-0000-000008000000}"/>
    <cellStyle name="40% - Ênfase1 2" xfId="118" xr:uid="{00000000-0005-0000-0000-000009000000}"/>
    <cellStyle name="40% - Ênfase2 2" xfId="119" xr:uid="{00000000-0005-0000-0000-00000A000000}"/>
    <cellStyle name="40% - Ênfase3 2" xfId="120" xr:uid="{00000000-0005-0000-0000-00000B000000}"/>
    <cellStyle name="40% - Ênfase4 2" xfId="121" xr:uid="{00000000-0005-0000-0000-00000C000000}"/>
    <cellStyle name="40% - Ênfase5 2" xfId="122" xr:uid="{00000000-0005-0000-0000-00000D000000}"/>
    <cellStyle name="40% - Ênfase6 2" xfId="123" xr:uid="{00000000-0005-0000-0000-00000E000000}"/>
    <cellStyle name="60% - Ênfase1 2" xfId="124" xr:uid="{00000000-0005-0000-0000-00000F000000}"/>
    <cellStyle name="60% - Ênfase2 2" xfId="125" xr:uid="{00000000-0005-0000-0000-000010000000}"/>
    <cellStyle name="60% - Ênfase3 2" xfId="126" xr:uid="{00000000-0005-0000-0000-000011000000}"/>
    <cellStyle name="60% - Ênfase4 2" xfId="127" xr:uid="{00000000-0005-0000-0000-000012000000}"/>
    <cellStyle name="60% - Ênfase5 2" xfId="128" xr:uid="{00000000-0005-0000-0000-000013000000}"/>
    <cellStyle name="60% - Ênfase6 2" xfId="129" xr:uid="{00000000-0005-0000-0000-000014000000}"/>
    <cellStyle name="Bom 2" xfId="130" xr:uid="{00000000-0005-0000-0000-000015000000}"/>
    <cellStyle name="Cálculo 2" xfId="131" xr:uid="{00000000-0005-0000-0000-000016000000}"/>
    <cellStyle name="Célula de Verificação 2" xfId="132" xr:uid="{00000000-0005-0000-0000-000017000000}"/>
    <cellStyle name="Célula Vinculada 2" xfId="133" xr:uid="{00000000-0005-0000-0000-000018000000}"/>
    <cellStyle name="Data" xfId="134" xr:uid="{00000000-0005-0000-0000-000019000000}"/>
    <cellStyle name="Ênfase1 2" xfId="135" xr:uid="{00000000-0005-0000-0000-00001A000000}"/>
    <cellStyle name="Ênfase2 2" xfId="136" xr:uid="{00000000-0005-0000-0000-00001B000000}"/>
    <cellStyle name="Ênfase3 2" xfId="137" xr:uid="{00000000-0005-0000-0000-00001C000000}"/>
    <cellStyle name="Ênfase4 2" xfId="138" xr:uid="{00000000-0005-0000-0000-00001D000000}"/>
    <cellStyle name="Ênfase5 2" xfId="139" xr:uid="{00000000-0005-0000-0000-00001E000000}"/>
    <cellStyle name="Ênfase6 2" xfId="140" xr:uid="{00000000-0005-0000-0000-00001F000000}"/>
    <cellStyle name="Entrada 2" xfId="141" xr:uid="{00000000-0005-0000-0000-000020000000}"/>
    <cellStyle name="Euro" xfId="142" xr:uid="{00000000-0005-0000-0000-000021000000}"/>
    <cellStyle name="Excel Built-in Normal" xfId="16" xr:uid="{00000000-0005-0000-0000-000022000000}"/>
    <cellStyle name="Excel_BuiltIn_Comma" xfId="17" xr:uid="{00000000-0005-0000-0000-000023000000}"/>
    <cellStyle name="Fixo" xfId="143" xr:uid="{00000000-0005-0000-0000-000024000000}"/>
    <cellStyle name="Hiperlink 2" xfId="144" xr:uid="{00000000-0005-0000-0000-000025000000}"/>
    <cellStyle name="Incorreto 2" xfId="145" xr:uid="{00000000-0005-0000-0000-000026000000}"/>
    <cellStyle name="Moeda 10" xfId="146" xr:uid="{00000000-0005-0000-0000-000027000000}"/>
    <cellStyle name="Moeda 11" xfId="147" xr:uid="{00000000-0005-0000-0000-000028000000}"/>
    <cellStyle name="Moeda 2" xfId="6" xr:uid="{00000000-0005-0000-0000-000029000000}"/>
    <cellStyle name="Moeda 2 2" xfId="18" xr:uid="{00000000-0005-0000-0000-00002A000000}"/>
    <cellStyle name="Moeda 2 2 2" xfId="19" xr:uid="{00000000-0005-0000-0000-00002B000000}"/>
    <cellStyle name="Moeda 3" xfId="148" xr:uid="{00000000-0005-0000-0000-00002C000000}"/>
    <cellStyle name="Moeda 3 2" xfId="149" xr:uid="{00000000-0005-0000-0000-00002D000000}"/>
    <cellStyle name="Moeda 4" xfId="150" xr:uid="{00000000-0005-0000-0000-00002E000000}"/>
    <cellStyle name="Moeda 4 2" xfId="151" xr:uid="{00000000-0005-0000-0000-00002F000000}"/>
    <cellStyle name="Moeda 5" xfId="152" xr:uid="{00000000-0005-0000-0000-000030000000}"/>
    <cellStyle name="Moeda 5 2" xfId="153" xr:uid="{00000000-0005-0000-0000-000031000000}"/>
    <cellStyle name="Moeda 6" xfId="154" xr:uid="{00000000-0005-0000-0000-000032000000}"/>
    <cellStyle name="Moeda 6 2" xfId="155" xr:uid="{00000000-0005-0000-0000-000033000000}"/>
    <cellStyle name="Moeda 7" xfId="156" xr:uid="{00000000-0005-0000-0000-000034000000}"/>
    <cellStyle name="Moeda 7 2" xfId="157" xr:uid="{00000000-0005-0000-0000-000035000000}"/>
    <cellStyle name="Moeda 8" xfId="158" xr:uid="{00000000-0005-0000-0000-000036000000}"/>
    <cellStyle name="Moeda 8 2" xfId="159" xr:uid="{00000000-0005-0000-0000-000037000000}"/>
    <cellStyle name="Moeda 9" xfId="160" xr:uid="{00000000-0005-0000-0000-000038000000}"/>
    <cellStyle name="Moeda0" xfId="161" xr:uid="{00000000-0005-0000-0000-000039000000}"/>
    <cellStyle name="Neutra 2" xfId="162" xr:uid="{00000000-0005-0000-0000-00003A000000}"/>
    <cellStyle name="Normal" xfId="0" builtinId="0"/>
    <cellStyle name="Normal 10" xfId="163" xr:uid="{00000000-0005-0000-0000-00003C000000}"/>
    <cellStyle name="Normal 10 2" xfId="20" xr:uid="{00000000-0005-0000-0000-00003D000000}"/>
    <cellStyle name="Normal 10 3" xfId="21" xr:uid="{00000000-0005-0000-0000-00003E000000}"/>
    <cellStyle name="Normal 10 4" xfId="22" xr:uid="{00000000-0005-0000-0000-00003F000000}"/>
    <cellStyle name="Normal 11" xfId="164" xr:uid="{00000000-0005-0000-0000-000040000000}"/>
    <cellStyle name="Normal 11 2" xfId="23" xr:uid="{00000000-0005-0000-0000-000041000000}"/>
    <cellStyle name="Normal 11 3" xfId="24" xr:uid="{00000000-0005-0000-0000-000042000000}"/>
    <cellStyle name="Normal 11 4" xfId="25" xr:uid="{00000000-0005-0000-0000-000043000000}"/>
    <cellStyle name="Normal 12" xfId="165" xr:uid="{00000000-0005-0000-0000-000044000000}"/>
    <cellStyle name="Normal 12 2" xfId="26" xr:uid="{00000000-0005-0000-0000-000045000000}"/>
    <cellStyle name="Normal 12 3" xfId="27" xr:uid="{00000000-0005-0000-0000-000046000000}"/>
    <cellStyle name="Normal 12 4" xfId="28" xr:uid="{00000000-0005-0000-0000-000047000000}"/>
    <cellStyle name="Normal 13" xfId="166" xr:uid="{00000000-0005-0000-0000-000048000000}"/>
    <cellStyle name="Normal 13 2" xfId="29" xr:uid="{00000000-0005-0000-0000-000049000000}"/>
    <cellStyle name="Normal 13 3" xfId="30" xr:uid="{00000000-0005-0000-0000-00004A000000}"/>
    <cellStyle name="Normal 13 4" xfId="31" xr:uid="{00000000-0005-0000-0000-00004B000000}"/>
    <cellStyle name="Normal 14" xfId="167" xr:uid="{00000000-0005-0000-0000-00004C000000}"/>
    <cellStyle name="Normal 14 2" xfId="32" xr:uid="{00000000-0005-0000-0000-00004D000000}"/>
    <cellStyle name="Normal 14 3" xfId="33" xr:uid="{00000000-0005-0000-0000-00004E000000}"/>
    <cellStyle name="Normal 14 4" xfId="34" xr:uid="{00000000-0005-0000-0000-00004F000000}"/>
    <cellStyle name="Normal 15" xfId="168" xr:uid="{00000000-0005-0000-0000-000050000000}"/>
    <cellStyle name="Normal 15 2" xfId="35" xr:uid="{00000000-0005-0000-0000-000051000000}"/>
    <cellStyle name="Normal 15 3" xfId="36" xr:uid="{00000000-0005-0000-0000-000052000000}"/>
    <cellStyle name="Normal 15 4" xfId="37" xr:uid="{00000000-0005-0000-0000-000053000000}"/>
    <cellStyle name="Normal 16" xfId="169" xr:uid="{00000000-0005-0000-0000-000054000000}"/>
    <cellStyle name="Normal 16 2" xfId="38" xr:uid="{00000000-0005-0000-0000-000055000000}"/>
    <cellStyle name="Normal 16 3" xfId="39" xr:uid="{00000000-0005-0000-0000-000056000000}"/>
    <cellStyle name="Normal 16 4" xfId="40" xr:uid="{00000000-0005-0000-0000-000057000000}"/>
    <cellStyle name="Normal 165" xfId="41" xr:uid="{00000000-0005-0000-0000-000058000000}"/>
    <cellStyle name="Normal 165 2" xfId="170" xr:uid="{00000000-0005-0000-0000-000059000000}"/>
    <cellStyle name="Normal 17" xfId="171" xr:uid="{00000000-0005-0000-0000-00005A000000}"/>
    <cellStyle name="Normal 17 2" xfId="42" xr:uid="{00000000-0005-0000-0000-00005B000000}"/>
    <cellStyle name="Normal 17 3" xfId="43" xr:uid="{00000000-0005-0000-0000-00005C000000}"/>
    <cellStyle name="Normal 17 4" xfId="44" xr:uid="{00000000-0005-0000-0000-00005D000000}"/>
    <cellStyle name="Normal 18" xfId="172" xr:uid="{00000000-0005-0000-0000-00005E000000}"/>
    <cellStyle name="Normal 18 2" xfId="45" xr:uid="{00000000-0005-0000-0000-00005F000000}"/>
    <cellStyle name="Normal 18 3" xfId="46" xr:uid="{00000000-0005-0000-0000-000060000000}"/>
    <cellStyle name="Normal 18 4" xfId="47" xr:uid="{00000000-0005-0000-0000-000061000000}"/>
    <cellStyle name="Normal 19" xfId="173" xr:uid="{00000000-0005-0000-0000-000062000000}"/>
    <cellStyle name="Normal 19 2" xfId="48" xr:uid="{00000000-0005-0000-0000-000063000000}"/>
    <cellStyle name="Normal 19 3" xfId="49" xr:uid="{00000000-0005-0000-0000-000064000000}"/>
    <cellStyle name="Normal 19 4" xfId="50" xr:uid="{00000000-0005-0000-0000-000065000000}"/>
    <cellStyle name="Normal 2" xfId="7" xr:uid="{00000000-0005-0000-0000-000066000000}"/>
    <cellStyle name="Normal 2 10" xfId="51" xr:uid="{00000000-0005-0000-0000-000067000000}"/>
    <cellStyle name="Normal 2 11" xfId="52" xr:uid="{00000000-0005-0000-0000-000068000000}"/>
    <cellStyle name="Normal 2 12" xfId="53" xr:uid="{00000000-0005-0000-0000-000069000000}"/>
    <cellStyle name="Normal 2 13" xfId="54" xr:uid="{00000000-0005-0000-0000-00006A000000}"/>
    <cellStyle name="Normal 2 14" xfId="55" xr:uid="{00000000-0005-0000-0000-00006B000000}"/>
    <cellStyle name="Normal 2 15" xfId="56" xr:uid="{00000000-0005-0000-0000-00006C000000}"/>
    <cellStyle name="Normal 2 16" xfId="57" xr:uid="{00000000-0005-0000-0000-00006D000000}"/>
    <cellStyle name="Normal 2 17" xfId="58" xr:uid="{00000000-0005-0000-0000-00006E000000}"/>
    <cellStyle name="Normal 2 18" xfId="59" xr:uid="{00000000-0005-0000-0000-00006F000000}"/>
    <cellStyle name="Normal 2 19" xfId="60" xr:uid="{00000000-0005-0000-0000-000070000000}"/>
    <cellStyle name="Normal 2 2" xfId="8" xr:uid="{00000000-0005-0000-0000-000071000000}"/>
    <cellStyle name="Normal 2 2 2" xfId="9" xr:uid="{00000000-0005-0000-0000-000072000000}"/>
    <cellStyle name="Normal 2 20" xfId="61" xr:uid="{00000000-0005-0000-0000-000073000000}"/>
    <cellStyle name="Normal 2 21" xfId="62" xr:uid="{00000000-0005-0000-0000-000074000000}"/>
    <cellStyle name="Normal 2 3" xfId="4" xr:uid="{00000000-0005-0000-0000-000075000000}"/>
    <cellStyle name="Normal 2 3 2" xfId="174" xr:uid="{00000000-0005-0000-0000-000076000000}"/>
    <cellStyle name="Normal 2 4" xfId="63" xr:uid="{00000000-0005-0000-0000-000077000000}"/>
    <cellStyle name="Normal 2 5" xfId="64" xr:uid="{00000000-0005-0000-0000-000078000000}"/>
    <cellStyle name="Normal 2 6" xfId="65" xr:uid="{00000000-0005-0000-0000-000079000000}"/>
    <cellStyle name="Normal 2 7" xfId="66" xr:uid="{00000000-0005-0000-0000-00007A000000}"/>
    <cellStyle name="Normal 2 8" xfId="67" xr:uid="{00000000-0005-0000-0000-00007B000000}"/>
    <cellStyle name="Normal 2 9" xfId="68" xr:uid="{00000000-0005-0000-0000-00007C000000}"/>
    <cellStyle name="Normal 20" xfId="175" xr:uid="{00000000-0005-0000-0000-00007D000000}"/>
    <cellStyle name="Normal 21" xfId="176" xr:uid="{00000000-0005-0000-0000-00007E000000}"/>
    <cellStyle name="Normal 22" xfId="229" xr:uid="{00000000-0005-0000-0000-00007F000000}"/>
    <cellStyle name="Normal 23" xfId="231" xr:uid="{00000000-0005-0000-0000-000080000000}"/>
    <cellStyle name="Normal 3" xfId="10" xr:uid="{00000000-0005-0000-0000-000081000000}"/>
    <cellStyle name="Normal 3 2" xfId="177" xr:uid="{00000000-0005-0000-0000-000082000000}"/>
    <cellStyle name="Normal 3 2 2" xfId="178" xr:uid="{00000000-0005-0000-0000-000083000000}"/>
    <cellStyle name="Normal 3 3" xfId="179" xr:uid="{00000000-0005-0000-0000-000084000000}"/>
    <cellStyle name="Normal 4" xfId="13" xr:uid="{00000000-0005-0000-0000-000085000000}"/>
    <cellStyle name="Normal 4 10" xfId="69" xr:uid="{00000000-0005-0000-0000-000086000000}"/>
    <cellStyle name="Normal 4 11" xfId="70" xr:uid="{00000000-0005-0000-0000-000087000000}"/>
    <cellStyle name="Normal 4 2" xfId="71" xr:uid="{00000000-0005-0000-0000-000088000000}"/>
    <cellStyle name="Normal 4 3" xfId="72" xr:uid="{00000000-0005-0000-0000-000089000000}"/>
    <cellStyle name="Normal 4 4" xfId="73" xr:uid="{00000000-0005-0000-0000-00008A000000}"/>
    <cellStyle name="Normal 4 5" xfId="74" xr:uid="{00000000-0005-0000-0000-00008B000000}"/>
    <cellStyle name="Normal 4 6" xfId="75" xr:uid="{00000000-0005-0000-0000-00008C000000}"/>
    <cellStyle name="Normal 4 7" xfId="76" xr:uid="{00000000-0005-0000-0000-00008D000000}"/>
    <cellStyle name="Normal 4 8" xfId="77" xr:uid="{00000000-0005-0000-0000-00008E000000}"/>
    <cellStyle name="Normal 4 9" xfId="78" xr:uid="{00000000-0005-0000-0000-00008F000000}"/>
    <cellStyle name="Normal 5" xfId="12" xr:uid="{00000000-0005-0000-0000-000090000000}"/>
    <cellStyle name="Normal 5 2" xfId="79" xr:uid="{00000000-0005-0000-0000-000091000000}"/>
    <cellStyle name="Normal 5 3" xfId="80" xr:uid="{00000000-0005-0000-0000-000092000000}"/>
    <cellStyle name="Normal 5 4" xfId="81" xr:uid="{00000000-0005-0000-0000-000093000000}"/>
    <cellStyle name="Normal 5 5" xfId="82" xr:uid="{00000000-0005-0000-0000-000094000000}"/>
    <cellStyle name="Normal 5 6" xfId="83" xr:uid="{00000000-0005-0000-0000-000095000000}"/>
    <cellStyle name="Normal 5 7" xfId="84" xr:uid="{00000000-0005-0000-0000-000096000000}"/>
    <cellStyle name="Normal 6" xfId="105" xr:uid="{00000000-0005-0000-0000-000097000000}"/>
    <cellStyle name="Normal 6 2" xfId="85" xr:uid="{00000000-0005-0000-0000-000098000000}"/>
    <cellStyle name="Normal 6 3" xfId="86" xr:uid="{00000000-0005-0000-0000-000099000000}"/>
    <cellStyle name="Normal 6 4" xfId="87" xr:uid="{00000000-0005-0000-0000-00009A000000}"/>
    <cellStyle name="Normal 6 5" xfId="88" xr:uid="{00000000-0005-0000-0000-00009B000000}"/>
    <cellStyle name="Normal 6 6" xfId="89" xr:uid="{00000000-0005-0000-0000-00009C000000}"/>
    <cellStyle name="Normal 6 7" xfId="90" xr:uid="{00000000-0005-0000-0000-00009D000000}"/>
    <cellStyle name="Normal 7" xfId="108" xr:uid="{00000000-0005-0000-0000-00009E000000}"/>
    <cellStyle name="Normal 7 2" xfId="91" xr:uid="{00000000-0005-0000-0000-00009F000000}"/>
    <cellStyle name="Normal 7 3" xfId="92" xr:uid="{00000000-0005-0000-0000-0000A0000000}"/>
    <cellStyle name="Normal 7 4" xfId="93" xr:uid="{00000000-0005-0000-0000-0000A1000000}"/>
    <cellStyle name="Normal 7 5" xfId="94" xr:uid="{00000000-0005-0000-0000-0000A2000000}"/>
    <cellStyle name="Normal 7 6" xfId="95" xr:uid="{00000000-0005-0000-0000-0000A3000000}"/>
    <cellStyle name="Normal 7 7" xfId="96" xr:uid="{00000000-0005-0000-0000-0000A4000000}"/>
    <cellStyle name="Normal 8" xfId="180" xr:uid="{00000000-0005-0000-0000-0000A5000000}"/>
    <cellStyle name="Normal 8 2" xfId="181" xr:uid="{00000000-0005-0000-0000-0000A6000000}"/>
    <cellStyle name="Normal 9" xfId="182" xr:uid="{00000000-0005-0000-0000-0000A7000000}"/>
    <cellStyle name="Normal 9 2" xfId="183" xr:uid="{00000000-0005-0000-0000-0000A8000000}"/>
    <cellStyle name="Normal_Ampliação PS- 100,00m2 - VERSÃO 03 2" xfId="106" xr:uid="{00000000-0005-0000-0000-0000A9000000}"/>
    <cellStyle name="Normal_Orçamento" xfId="230" xr:uid="{00000000-0005-0000-0000-0000AA000000}"/>
    <cellStyle name="Normal_Planilha orçamentária" xfId="1" xr:uid="{00000000-0005-0000-0000-0000AB000000}"/>
    <cellStyle name="Nota 2" xfId="184" xr:uid="{00000000-0005-0000-0000-0000AC000000}"/>
    <cellStyle name="Porcentagem" xfId="3" builtinId="5"/>
    <cellStyle name="Porcentagem 2" xfId="97" xr:uid="{00000000-0005-0000-0000-0000AE000000}"/>
    <cellStyle name="Porcentagem 2 2" xfId="107" xr:uid="{00000000-0005-0000-0000-0000AF000000}"/>
    <cellStyle name="Porcentagem 2 3" xfId="185" xr:uid="{00000000-0005-0000-0000-0000B0000000}"/>
    <cellStyle name="Porcentagem 3" xfId="98" xr:uid="{00000000-0005-0000-0000-0000B1000000}"/>
    <cellStyle name="Porcentagem 3 2" xfId="186" xr:uid="{00000000-0005-0000-0000-0000B2000000}"/>
    <cellStyle name="Porcentagem 3 2 2" xfId="187" xr:uid="{00000000-0005-0000-0000-0000B3000000}"/>
    <cellStyle name="Porcentagem 3 3" xfId="188" xr:uid="{00000000-0005-0000-0000-0000B4000000}"/>
    <cellStyle name="Porcentagem 3 3 2" xfId="189" xr:uid="{00000000-0005-0000-0000-0000B5000000}"/>
    <cellStyle name="Porcentagem 3 4" xfId="190" xr:uid="{00000000-0005-0000-0000-0000B6000000}"/>
    <cellStyle name="Porcentagem 4" xfId="191" xr:uid="{00000000-0005-0000-0000-0000B7000000}"/>
    <cellStyle name="Porcentagem 5" xfId="192" xr:uid="{00000000-0005-0000-0000-0000B8000000}"/>
    <cellStyle name="Saída 2" xfId="193" xr:uid="{00000000-0005-0000-0000-0000B9000000}"/>
    <cellStyle name="Separador de milhares 10" xfId="194" xr:uid="{00000000-0005-0000-0000-0000BA000000}"/>
    <cellStyle name="Separador de milhares 11" xfId="195" xr:uid="{00000000-0005-0000-0000-0000BB000000}"/>
    <cellStyle name="Separador de milhares 12" xfId="196" xr:uid="{00000000-0005-0000-0000-0000BC000000}"/>
    <cellStyle name="Separador de milhares 13" xfId="197" xr:uid="{00000000-0005-0000-0000-0000BD000000}"/>
    <cellStyle name="Separador de milhares 14" xfId="198" xr:uid="{00000000-0005-0000-0000-0000BE000000}"/>
    <cellStyle name="Separador de milhares 15" xfId="199" xr:uid="{00000000-0005-0000-0000-0000BF000000}"/>
    <cellStyle name="Separador de milhares 16" xfId="200" xr:uid="{00000000-0005-0000-0000-0000C0000000}"/>
    <cellStyle name="Separador de milhares 17" xfId="201" xr:uid="{00000000-0005-0000-0000-0000C1000000}"/>
    <cellStyle name="Separador de milhares 18" xfId="202" xr:uid="{00000000-0005-0000-0000-0000C2000000}"/>
    <cellStyle name="Separador de milhares 2" xfId="99" xr:uid="{00000000-0005-0000-0000-0000C3000000}"/>
    <cellStyle name="Separador de milhares 2 2" xfId="203" xr:uid="{00000000-0005-0000-0000-0000C4000000}"/>
    <cellStyle name="Separador de milhares 2 2 2" xfId="204" xr:uid="{00000000-0005-0000-0000-0000C5000000}"/>
    <cellStyle name="Separador de milhares 2 3" xfId="205" xr:uid="{00000000-0005-0000-0000-0000C6000000}"/>
    <cellStyle name="Separador de milhares 2 4" xfId="206" xr:uid="{00000000-0005-0000-0000-0000C7000000}"/>
    <cellStyle name="Separador de milhares 3" xfId="100" xr:uid="{00000000-0005-0000-0000-0000C8000000}"/>
    <cellStyle name="Separador de milhares 3 2" xfId="101" xr:uid="{00000000-0005-0000-0000-0000C9000000}"/>
    <cellStyle name="Separador de milhares 4" xfId="207" xr:uid="{00000000-0005-0000-0000-0000CA000000}"/>
    <cellStyle name="Separador de milhares 4 2" xfId="208" xr:uid="{00000000-0005-0000-0000-0000CB000000}"/>
    <cellStyle name="Separador de milhares 5" xfId="209" xr:uid="{00000000-0005-0000-0000-0000CC000000}"/>
    <cellStyle name="Separador de milhares 5 2" xfId="210" xr:uid="{00000000-0005-0000-0000-0000CD000000}"/>
    <cellStyle name="Separador de milhares 6" xfId="211" xr:uid="{00000000-0005-0000-0000-0000CE000000}"/>
    <cellStyle name="Separador de milhares 6 2" xfId="212" xr:uid="{00000000-0005-0000-0000-0000CF000000}"/>
    <cellStyle name="Separador de milhares 7" xfId="213" xr:uid="{00000000-0005-0000-0000-0000D0000000}"/>
    <cellStyle name="Separador de milhares 7 2" xfId="214" xr:uid="{00000000-0005-0000-0000-0000D1000000}"/>
    <cellStyle name="Separador de milhares 8" xfId="215" xr:uid="{00000000-0005-0000-0000-0000D2000000}"/>
    <cellStyle name="Separador de milhares 8 2" xfId="216" xr:uid="{00000000-0005-0000-0000-0000D3000000}"/>
    <cellStyle name="Separador de milhares 9" xfId="217" xr:uid="{00000000-0005-0000-0000-0000D4000000}"/>
    <cellStyle name="TableStyleLight1" xfId="218" xr:uid="{00000000-0005-0000-0000-0000D5000000}"/>
    <cellStyle name="Texto de Aviso 2" xfId="219" xr:uid="{00000000-0005-0000-0000-0000D6000000}"/>
    <cellStyle name="Texto Explicativo 2" xfId="220" xr:uid="{00000000-0005-0000-0000-0000D7000000}"/>
    <cellStyle name="Título 1 2" xfId="221" xr:uid="{00000000-0005-0000-0000-0000D8000000}"/>
    <cellStyle name="Título 2 2" xfId="222" xr:uid="{00000000-0005-0000-0000-0000D9000000}"/>
    <cellStyle name="Título 3 2" xfId="223" xr:uid="{00000000-0005-0000-0000-0000DA000000}"/>
    <cellStyle name="Título 4 2" xfId="224" xr:uid="{00000000-0005-0000-0000-0000DB000000}"/>
    <cellStyle name="Título 5" xfId="225" xr:uid="{00000000-0005-0000-0000-0000DC000000}"/>
    <cellStyle name="Total 2" xfId="226" xr:uid="{00000000-0005-0000-0000-0000DD000000}"/>
    <cellStyle name="Vírgula" xfId="2" builtinId="3"/>
    <cellStyle name="Vírgula 2" xfId="11" xr:uid="{00000000-0005-0000-0000-0000DF000000}"/>
    <cellStyle name="Vírgula 2 2" xfId="227" xr:uid="{00000000-0005-0000-0000-0000E0000000}"/>
    <cellStyle name="Vírgula 3" xfId="5" xr:uid="{00000000-0005-0000-0000-0000E1000000}"/>
    <cellStyle name="Vírgula 3 2" xfId="102" xr:uid="{00000000-0005-0000-0000-0000E2000000}"/>
    <cellStyle name="Vírgula 3 2 2" xfId="103" xr:uid="{00000000-0005-0000-0000-0000E3000000}"/>
    <cellStyle name="Vírgula 3 3" xfId="104" xr:uid="{00000000-0005-0000-0000-0000E4000000}"/>
    <cellStyle name="Vírgula 4" xfId="14" xr:uid="{00000000-0005-0000-0000-0000E5000000}"/>
    <cellStyle name="Vírgula 5" xfId="15" xr:uid="{00000000-0005-0000-0000-0000E6000000}"/>
    <cellStyle name="Vírgula0" xfId="228" xr:uid="{00000000-0005-0000-0000-0000E7000000}"/>
  </cellStyles>
  <dxfs count="10"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008\comp008\BANCO%20DO%20BRASIL%20-%20MODELO%20NOVO\L.%20de%20Avalia&#231;&#227;o,%20Acomp.%20de%20obra%20e%20Estudos%20-%202012\Estudos%20-%20MInha%20Casa%20Minha%20Vida\Penedo%20-%20Velho%20Chico\Velho%20Chico%20I\6%20-%20Velho%20Chico%20I%20-%20Orcamento%20e%20Cronograma201209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ge5.escritorio.queirozgalvaoemp.com.br\PROJETOS\Qualidade\siena\APOIO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Users\Rodrigo\Documents\PENDRIVE%2002\Oficina%20AMA%20-%20CAIXA%20-%20Sebrae\03%20-%20Contrato%20Repasse%20I\03.02%20-%20An&#225;lise%20-%20Cl&#225;usula%20Suspensiva\BDI\Composi&#231;&#227;o_BDI_Ac&#243;rd&#227;o_2622_TCU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onat\Desktop\OR&#199;.%20-%20POSTO_DE_SA&#218;DE-REV.00%20(8)%20-%20CRONOGRAMA%20O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C. HABITAÇÃO"/>
      <sheetName val="ORC. EQ. USO COMUM"/>
      <sheetName val="ORC. INFRA-ESTRUTURA"/>
      <sheetName val="RESUMOS DE  ORC."/>
      <sheetName val="CRON. FÍSICO-FINANCEIRO HABIT."/>
      <sheetName val="CFF EQ.USO COMUM"/>
      <sheetName val="CFF INFRA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G6">
            <v>17157000</v>
          </cell>
        </row>
      </sheetData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tividades2"/>
      <sheetName val="Atividades"/>
      <sheetName val="Imprime1"/>
      <sheetName val="Imprime2"/>
      <sheetName val="Dados"/>
      <sheetName val="M1"/>
      <sheetName val="M2"/>
      <sheetName val="M3"/>
      <sheetName val="M4"/>
      <sheetName val="M5"/>
      <sheetName val="M6"/>
      <sheetName val="M7"/>
      <sheetName val="Geral"/>
      <sheetName val="Geral1A"/>
      <sheetName val="Q1"/>
      <sheetName val="Q2"/>
      <sheetName val="Q3"/>
      <sheetName val="Q3-A"/>
      <sheetName val="Q4"/>
      <sheetName val="Q6"/>
      <sheetName val="Q5"/>
      <sheetName val="Q7-A"/>
      <sheetName val="Q7-B"/>
      <sheetName val="Q8"/>
      <sheetName val="Q9"/>
      <sheetName val="Recursos2"/>
      <sheetName val="Recursos"/>
      <sheetName val="APOIO2"/>
    </sheetNames>
    <definedNames>
      <definedName name="Macro16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DADOS"/>
    </sheetNames>
    <sheetDataSet>
      <sheetData sheetId="0"/>
      <sheetData sheetId="1">
        <row r="1">
          <cell r="A1" t="str">
            <v>Construção de Edifícios</v>
          </cell>
        </row>
        <row r="2">
          <cell r="A2" t="str">
            <v>Construção de Rodovias e Ferrovias</v>
          </cell>
        </row>
        <row r="3">
          <cell r="A3" t="str">
            <v>Construção de Redes de Abastecimento de Água, Coleta de Esgoto e Construções Correlatas</v>
          </cell>
        </row>
        <row r="4">
          <cell r="A4" t="str">
            <v>Construção e Manutenção de Estações e Redes de Distribuição de Energia Elétrica</v>
          </cell>
        </row>
        <row r="5">
          <cell r="A5" t="str">
            <v>Obras Portuárias, Marítimas e Fluviais</v>
          </cell>
        </row>
        <row r="6">
          <cell r="A6" t="str">
            <v>Fornecimento de Materiais e Equipamentos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. AMPLIÇÃO"/>
      <sheetName val="MEMORIAL DE CÁLCULO"/>
      <sheetName val="ORÇ. REFORMA"/>
      <sheetName val="ORÇAMENTO"/>
      <sheetName val="COMPOSIÇÕES - REFORMAS"/>
      <sheetName val="CRON.REFORMA"/>
      <sheetName val="CRON.AMPLIAÇÃO"/>
      <sheetName val="BDI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>
        <row r="31">
          <cell r="E31">
            <v>0.22877342476291962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54"/>
  <sheetViews>
    <sheetView tabSelected="1" view="pageBreakPreview" topLeftCell="A148" zoomScaleSheetLayoutView="100" workbookViewId="0">
      <selection activeCell="B177" sqref="B177"/>
    </sheetView>
  </sheetViews>
  <sheetFormatPr defaultRowHeight="12.75"/>
  <cols>
    <col min="1" max="1" width="9.140625" style="5"/>
    <col min="2" max="2" width="10.28515625" style="7" customWidth="1"/>
    <col min="3" max="3" width="7.5703125" style="3" customWidth="1"/>
    <col min="4" max="4" width="46.5703125" style="2" customWidth="1"/>
    <col min="5" max="5" width="6.42578125" style="5" bestFit="1" customWidth="1"/>
    <col min="6" max="6" width="10.28515625" style="6" customWidth="1"/>
    <col min="7" max="7" width="11.7109375" style="4" customWidth="1"/>
    <col min="8" max="8" width="13.28515625" style="4" customWidth="1"/>
    <col min="9" max="10" width="14.7109375" style="4" customWidth="1"/>
    <col min="11" max="11" width="14" style="4" customWidth="1"/>
    <col min="12" max="12" width="21.42578125" style="4" customWidth="1"/>
    <col min="13" max="13" width="14.7109375" style="4" customWidth="1"/>
    <col min="14" max="14" width="11.5703125" style="3" customWidth="1"/>
    <col min="15" max="15" width="13.7109375" style="3" customWidth="1"/>
    <col min="16" max="16" width="12.7109375" style="3" customWidth="1"/>
    <col min="17" max="16384" width="9.140625" style="3"/>
  </cols>
  <sheetData>
    <row r="1" spans="1:15">
      <c r="A1" s="343" t="s">
        <v>55</v>
      </c>
      <c r="B1" s="343"/>
      <c r="C1" s="343"/>
      <c r="D1" s="343"/>
      <c r="E1" s="343"/>
      <c r="F1" s="343"/>
      <c r="G1" s="343"/>
      <c r="H1" s="343"/>
      <c r="I1" s="343"/>
      <c r="J1" s="343"/>
      <c r="K1" s="272"/>
      <c r="L1" s="272"/>
      <c r="M1" s="272"/>
    </row>
    <row r="2" spans="1:15" ht="18">
      <c r="A2" s="365" t="s">
        <v>178</v>
      </c>
      <c r="B2" s="365"/>
      <c r="C2" s="365"/>
      <c r="D2" s="365"/>
      <c r="E2" s="365"/>
      <c r="F2" s="365"/>
      <c r="G2" s="365"/>
      <c r="H2" s="365"/>
      <c r="I2" s="365"/>
      <c r="J2" s="365"/>
      <c r="K2" s="273"/>
      <c r="L2" s="273"/>
      <c r="M2" s="273"/>
    </row>
    <row r="3" spans="1:15" ht="8.25" customHeight="1" thickBot="1">
      <c r="B3" s="5"/>
      <c r="C3" s="5"/>
      <c r="D3" s="5"/>
      <c r="F3" s="5"/>
      <c r="G3" s="5"/>
      <c r="H3" s="5"/>
      <c r="I3" s="5"/>
      <c r="J3" s="5"/>
      <c r="K3" s="5"/>
      <c r="L3" s="5"/>
      <c r="M3" s="5"/>
    </row>
    <row r="4" spans="1:15" ht="28.5" customHeight="1">
      <c r="A4" s="361" t="s">
        <v>819</v>
      </c>
      <c r="B4" s="362"/>
      <c r="C4" s="362"/>
      <c r="D4" s="362"/>
      <c r="E4" s="362"/>
      <c r="F4" s="363"/>
      <c r="G4" s="358" t="s">
        <v>56</v>
      </c>
      <c r="H4" s="360"/>
      <c r="I4" s="358" t="s">
        <v>846</v>
      </c>
      <c r="J4" s="359"/>
      <c r="K4" s="279"/>
      <c r="L4" s="279"/>
      <c r="M4" s="279"/>
    </row>
    <row r="5" spans="1:15" ht="12.75" customHeight="1">
      <c r="A5" s="355" t="s">
        <v>820</v>
      </c>
      <c r="B5" s="356"/>
      <c r="C5" s="356"/>
      <c r="D5" s="356"/>
      <c r="E5" s="356"/>
      <c r="F5" s="357"/>
      <c r="G5" s="351" t="s">
        <v>14</v>
      </c>
      <c r="H5" s="352"/>
      <c r="I5" s="347">
        <f>BDI!E31</f>
        <v>0.22877342476291962</v>
      </c>
      <c r="J5" s="348"/>
      <c r="K5" s="152"/>
      <c r="L5" s="152"/>
      <c r="M5" s="152"/>
    </row>
    <row r="6" spans="1:15" ht="13.5" thickBot="1">
      <c r="A6" s="344" t="s">
        <v>847</v>
      </c>
      <c r="B6" s="345"/>
      <c r="C6" s="345"/>
      <c r="D6" s="345"/>
      <c r="E6" s="345"/>
      <c r="F6" s="346"/>
      <c r="G6" s="353"/>
      <c r="H6" s="354"/>
      <c r="I6" s="349"/>
      <c r="J6" s="350"/>
      <c r="K6" s="152"/>
      <c r="L6" s="152"/>
      <c r="M6" s="152"/>
    </row>
    <row r="7" spans="1:15" ht="13.5" thickBot="1">
      <c r="A7" s="14"/>
      <c r="B7" s="14"/>
      <c r="C7" s="14"/>
      <c r="D7" s="14"/>
      <c r="E7" s="14"/>
      <c r="F7" s="14"/>
      <c r="G7" s="151"/>
      <c r="H7" s="151"/>
      <c r="I7" s="152"/>
      <c r="J7" s="152"/>
      <c r="K7" s="152"/>
      <c r="L7" s="152"/>
      <c r="M7" s="152"/>
    </row>
    <row r="8" spans="1:15" ht="15.75" customHeight="1" thickBot="1">
      <c r="A8" s="310" t="s">
        <v>9</v>
      </c>
      <c r="B8" s="311"/>
      <c r="C8" s="311"/>
      <c r="D8" s="311"/>
      <c r="E8" s="311"/>
      <c r="F8" s="311"/>
      <c r="G8" s="311"/>
      <c r="H8" s="311"/>
      <c r="I8" s="311"/>
      <c r="J8" s="364"/>
      <c r="K8" s="280"/>
      <c r="L8" s="280"/>
      <c r="M8" s="280"/>
    </row>
    <row r="9" spans="1:15" ht="32.25" customHeight="1" thickBot="1">
      <c r="A9" s="10" t="s">
        <v>10</v>
      </c>
      <c r="B9" s="40" t="s">
        <v>24</v>
      </c>
      <c r="C9" s="40" t="s">
        <v>28</v>
      </c>
      <c r="D9" s="40" t="s">
        <v>11</v>
      </c>
      <c r="E9" s="40" t="s">
        <v>12</v>
      </c>
      <c r="F9" s="41" t="s">
        <v>13</v>
      </c>
      <c r="G9" s="42" t="s">
        <v>31</v>
      </c>
      <c r="H9" s="42" t="s">
        <v>32</v>
      </c>
      <c r="I9" s="42" t="s">
        <v>33</v>
      </c>
      <c r="J9" s="179" t="s">
        <v>27</v>
      </c>
      <c r="K9" s="25"/>
      <c r="L9" s="25"/>
      <c r="M9" s="25"/>
      <c r="O9" s="75">
        <f>J115</f>
        <v>57196.620793673974</v>
      </c>
    </row>
    <row r="10" spans="1:15" ht="6.75" customHeight="1" thickBot="1">
      <c r="A10" s="21"/>
      <c r="B10" s="22"/>
      <c r="C10" s="22"/>
      <c r="D10" s="22"/>
      <c r="E10" s="23"/>
      <c r="F10" s="24"/>
      <c r="G10" s="25"/>
      <c r="H10" s="25"/>
      <c r="I10" s="25"/>
      <c r="J10" s="26"/>
      <c r="K10" s="25"/>
      <c r="L10" s="25"/>
      <c r="M10" s="25"/>
    </row>
    <row r="11" spans="1:15" ht="17.25" customHeight="1" thickBot="1">
      <c r="A11" s="310" t="s">
        <v>582</v>
      </c>
      <c r="B11" s="311"/>
      <c r="C11" s="311"/>
      <c r="D11" s="311"/>
      <c r="E11" s="311"/>
      <c r="F11" s="311"/>
      <c r="G11" s="311"/>
      <c r="H11" s="311"/>
      <c r="I11" s="311"/>
      <c r="J11" s="311"/>
      <c r="K11" s="291" t="s">
        <v>13</v>
      </c>
      <c r="L11" s="292" t="s">
        <v>27</v>
      </c>
      <c r="M11" s="280"/>
    </row>
    <row r="12" spans="1:15" ht="13.5" customHeight="1">
      <c r="A12" s="142" t="s">
        <v>809</v>
      </c>
      <c r="B12" s="143"/>
      <c r="C12" s="144"/>
      <c r="D12" s="145" t="s">
        <v>0</v>
      </c>
      <c r="E12" s="146" t="s">
        <v>1</v>
      </c>
      <c r="F12" s="147"/>
      <c r="G12" s="148"/>
      <c r="H12" s="148"/>
      <c r="I12" s="149"/>
      <c r="J12" s="283"/>
      <c r="K12" s="29"/>
      <c r="L12" s="29"/>
      <c r="M12" s="281"/>
    </row>
    <row r="13" spans="1:15" ht="25.5" customHeight="1">
      <c r="A13" s="108" t="s">
        <v>810</v>
      </c>
      <c r="B13" s="321" t="s">
        <v>139</v>
      </c>
      <c r="C13" s="322"/>
      <c r="D13" s="31" t="s">
        <v>204</v>
      </c>
      <c r="E13" s="109" t="s">
        <v>205</v>
      </c>
      <c r="F13" s="110">
        <v>6</v>
      </c>
      <c r="G13" s="111">
        <f>'COMPOSIÇÕES - REFORMAS'!H16</f>
        <v>1086.8545999999999</v>
      </c>
      <c r="H13" s="34">
        <f>G13*(1+$I$5)</f>
        <v>1335.4980490613329</v>
      </c>
      <c r="I13" s="34">
        <f>F13*G13</f>
        <v>6521.1275999999998</v>
      </c>
      <c r="J13" s="284">
        <f>F13*H13</f>
        <v>8012.9882943679977</v>
      </c>
      <c r="K13" s="34"/>
      <c r="L13" s="34">
        <v>38061.233239581677</v>
      </c>
      <c r="M13" s="20"/>
      <c r="N13" s="3">
        <f>J13/J244</f>
        <v>1.9769750197704567E-2</v>
      </c>
    </row>
    <row r="14" spans="1:15" ht="13.5" customHeight="1">
      <c r="A14" s="108" t="s">
        <v>811</v>
      </c>
      <c r="B14" s="321" t="s">
        <v>138</v>
      </c>
      <c r="C14" s="322"/>
      <c r="D14" s="31" t="s">
        <v>207</v>
      </c>
      <c r="E14" s="112" t="s">
        <v>62</v>
      </c>
      <c r="F14" s="110">
        <v>1</v>
      </c>
      <c r="G14" s="111">
        <f>'COMPOSIÇÕES - REFORMAS'!H22</f>
        <v>911.81999999999994</v>
      </c>
      <c r="H14" s="34">
        <f>G14*(1+$I$5)</f>
        <v>1120.4201841673253</v>
      </c>
      <c r="I14" s="34">
        <f>F14*G14</f>
        <v>911.81999999999994</v>
      </c>
      <c r="J14" s="284">
        <f>F14*H14</f>
        <v>1120.4201841673253</v>
      </c>
      <c r="K14" s="34"/>
      <c r="L14" s="34">
        <v>899.53587333194287</v>
      </c>
      <c r="M14" s="20"/>
    </row>
    <row r="15" spans="1:15" ht="13.5" customHeight="1">
      <c r="A15" s="108" t="s">
        <v>812</v>
      </c>
      <c r="B15" s="321" t="s">
        <v>147</v>
      </c>
      <c r="C15" s="322"/>
      <c r="D15" s="31" t="s">
        <v>209</v>
      </c>
      <c r="E15" s="112" t="s">
        <v>62</v>
      </c>
      <c r="F15" s="110">
        <v>1</v>
      </c>
      <c r="G15" s="111">
        <f>'COMPOSIÇÕES - REFORMAS'!H28</f>
        <v>911.81999999999994</v>
      </c>
      <c r="H15" s="34">
        <f>G15*(1+$I$5)</f>
        <v>1120.4201841673253</v>
      </c>
      <c r="I15" s="34">
        <f>F15*G15</f>
        <v>911.81999999999994</v>
      </c>
      <c r="J15" s="284">
        <f>F15*H15</f>
        <v>1120.4201841673253</v>
      </c>
      <c r="K15" s="34"/>
      <c r="L15" s="34">
        <v>899.53587333194287</v>
      </c>
      <c r="M15" s="20"/>
    </row>
    <row r="16" spans="1:15" ht="13.5" customHeight="1">
      <c r="A16" s="108" t="s">
        <v>813</v>
      </c>
      <c r="B16" s="298" t="s">
        <v>834</v>
      </c>
      <c r="C16" s="78" t="s">
        <v>29</v>
      </c>
      <c r="D16" s="300" t="s">
        <v>833</v>
      </c>
      <c r="E16" s="32" t="s">
        <v>19</v>
      </c>
      <c r="F16" s="296">
        <v>6</v>
      </c>
      <c r="G16" s="297">
        <v>212.69</v>
      </c>
      <c r="H16" s="34">
        <f>G16*(1+$I$5)</f>
        <v>261.34781971282536</v>
      </c>
      <c r="I16" s="34">
        <f>F16*G16</f>
        <v>1276.1399999999999</v>
      </c>
      <c r="J16" s="284">
        <f>F16*H16</f>
        <v>1568.086918276952</v>
      </c>
      <c r="K16" s="34"/>
      <c r="L16" s="34">
        <v>2347.1538450451385</v>
      </c>
      <c r="M16" s="20"/>
    </row>
    <row r="17" spans="1:16" ht="13.5" customHeight="1" thickBot="1">
      <c r="A17" s="323" t="s">
        <v>808</v>
      </c>
      <c r="B17" s="324"/>
      <c r="C17" s="324"/>
      <c r="D17" s="324"/>
      <c r="E17" s="324"/>
      <c r="F17" s="324"/>
      <c r="G17" s="324"/>
      <c r="H17" s="324"/>
      <c r="I17" s="48">
        <f>SUM(I13:I16)</f>
        <v>9620.9075999999986</v>
      </c>
      <c r="J17" s="285">
        <f>SUM(J13:J16)</f>
        <v>11821.915580979599</v>
      </c>
      <c r="K17" s="293"/>
      <c r="L17" s="293"/>
      <c r="M17" s="282"/>
    </row>
    <row r="18" spans="1:16" ht="13.5" customHeight="1" thickBot="1">
      <c r="A18" s="312" t="s">
        <v>54</v>
      </c>
      <c r="B18" s="313"/>
      <c r="C18" s="313"/>
      <c r="D18" s="313"/>
      <c r="E18" s="313"/>
      <c r="F18" s="313"/>
      <c r="G18" s="313"/>
      <c r="H18" s="314"/>
      <c r="I18" s="39">
        <f>I17</f>
        <v>9620.9075999999986</v>
      </c>
      <c r="J18" s="286">
        <f>J17</f>
        <v>11821.915580979599</v>
      </c>
      <c r="K18" s="294"/>
      <c r="L18" s="294"/>
      <c r="M18" s="264"/>
    </row>
    <row r="19" spans="1:16" ht="18" customHeight="1" thickBot="1">
      <c r="A19" s="310" t="s">
        <v>581</v>
      </c>
      <c r="B19" s="311"/>
      <c r="C19" s="311"/>
      <c r="D19" s="311"/>
      <c r="E19" s="311"/>
      <c r="F19" s="311"/>
      <c r="G19" s="311"/>
      <c r="H19" s="311"/>
      <c r="I19" s="311"/>
      <c r="J19" s="311"/>
      <c r="K19" s="295"/>
      <c r="L19" s="295"/>
      <c r="M19" s="280"/>
    </row>
    <row r="20" spans="1:16" s="1" customFormat="1" ht="12.75" customHeight="1">
      <c r="A20" s="43" t="s">
        <v>34</v>
      </c>
      <c r="B20" s="50"/>
      <c r="C20" s="51"/>
      <c r="D20" s="28" t="s">
        <v>107</v>
      </c>
      <c r="E20" s="52" t="s">
        <v>1</v>
      </c>
      <c r="F20" s="53"/>
      <c r="G20" s="54"/>
      <c r="H20" s="54"/>
      <c r="I20" s="29"/>
      <c r="J20" s="287"/>
      <c r="K20" s="29"/>
      <c r="L20" s="29"/>
      <c r="M20" s="281"/>
    </row>
    <row r="21" spans="1:16" ht="24">
      <c r="A21" s="45" t="s">
        <v>583</v>
      </c>
      <c r="B21" s="30">
        <v>97622</v>
      </c>
      <c r="C21" s="78" t="s">
        <v>29</v>
      </c>
      <c r="D21" s="31" t="s">
        <v>361</v>
      </c>
      <c r="E21" s="32" t="s">
        <v>18</v>
      </c>
      <c r="F21" s="33">
        <f>'Calc Quant reforma'!C37</f>
        <v>8.2723499999999994</v>
      </c>
      <c r="G21" s="297">
        <v>36.590000000000003</v>
      </c>
      <c r="H21" s="34">
        <f t="shared" ref="H21:H28" si="0">G21*(1+$I$5)</f>
        <v>44.960819612075234</v>
      </c>
      <c r="I21" s="34">
        <f t="shared" ref="I21:I28" si="1">F21*G21</f>
        <v>302.68528650000002</v>
      </c>
      <c r="J21" s="284">
        <f t="shared" ref="J21:J28" si="2">F21*H21</f>
        <v>371.93163611795052</v>
      </c>
      <c r="K21" s="34">
        <v>8.2723499999999994</v>
      </c>
      <c r="L21" s="34">
        <v>353.6349172053429</v>
      </c>
      <c r="M21" s="20"/>
      <c r="O21" s="9"/>
      <c r="P21" s="8"/>
    </row>
    <row r="22" spans="1:16">
      <c r="A22" s="45" t="s">
        <v>584</v>
      </c>
      <c r="B22" s="321" t="s">
        <v>324</v>
      </c>
      <c r="C22" s="322"/>
      <c r="D22" s="31" t="s">
        <v>61</v>
      </c>
      <c r="E22" s="32" t="s">
        <v>19</v>
      </c>
      <c r="F22" s="33">
        <f>'Calc Quant reforma'!E37</f>
        <v>50.940000000000005</v>
      </c>
      <c r="G22" s="297">
        <f>'COMPOSIÇÕES - REFORMAS'!H34</f>
        <v>6.6550000000000002</v>
      </c>
      <c r="H22" s="34">
        <f t="shared" si="0"/>
        <v>8.177487141797231</v>
      </c>
      <c r="I22" s="34">
        <f t="shared" si="1"/>
        <v>339.00570000000005</v>
      </c>
      <c r="J22" s="284">
        <f t="shared" si="2"/>
        <v>416.561195003151</v>
      </c>
      <c r="K22" s="34">
        <v>50.940000000000005</v>
      </c>
      <c r="L22" s="34">
        <v>416.561195003151</v>
      </c>
      <c r="M22" s="20"/>
      <c r="O22" s="9"/>
      <c r="P22" s="8"/>
    </row>
    <row r="23" spans="1:16" ht="24">
      <c r="A23" s="45" t="s">
        <v>585</v>
      </c>
      <c r="B23" s="30">
        <v>97633</v>
      </c>
      <c r="C23" s="78" t="s">
        <v>29</v>
      </c>
      <c r="D23" s="31" t="s">
        <v>362</v>
      </c>
      <c r="E23" s="32" t="s">
        <v>19</v>
      </c>
      <c r="F23" s="33">
        <f>'Calc Quant reforma'!G37</f>
        <v>8.7419999999999991</v>
      </c>
      <c r="G23" s="297">
        <v>15.56</v>
      </c>
      <c r="H23" s="34">
        <f t="shared" si="0"/>
        <v>19.119714489311029</v>
      </c>
      <c r="I23" s="34">
        <f t="shared" si="1"/>
        <v>136.02552</v>
      </c>
      <c r="J23" s="284">
        <f t="shared" si="2"/>
        <v>167.144544065557</v>
      </c>
      <c r="K23" s="34">
        <v>8.7419999999999991</v>
      </c>
      <c r="L23" s="34">
        <v>159.84002671564835</v>
      </c>
      <c r="M23" s="20"/>
      <c r="O23" s="9"/>
      <c r="P23" s="8"/>
    </row>
    <row r="24" spans="1:16" ht="24">
      <c r="A24" s="45" t="s">
        <v>586</v>
      </c>
      <c r="B24" s="30">
        <v>72897</v>
      </c>
      <c r="C24" s="78" t="s">
        <v>29</v>
      </c>
      <c r="D24" s="31" t="s">
        <v>133</v>
      </c>
      <c r="E24" s="32" t="s">
        <v>18</v>
      </c>
      <c r="F24" s="33">
        <f>(F21+(F22*0.04)+(F23*0.01)+(F29*0.02))*1.3</f>
        <v>15.729181000000001</v>
      </c>
      <c r="G24" s="297">
        <v>17.38</v>
      </c>
      <c r="H24" s="34">
        <f t="shared" si="0"/>
        <v>21.35608212237954</v>
      </c>
      <c r="I24" s="34">
        <f t="shared" si="1"/>
        <v>273.37316577999997</v>
      </c>
      <c r="J24" s="284">
        <f t="shared" si="2"/>
        <v>335.91368115377196</v>
      </c>
      <c r="K24" s="34">
        <v>15.729181000000001</v>
      </c>
      <c r="L24" s="34">
        <v>318.13228951617305</v>
      </c>
      <c r="M24" s="20"/>
      <c r="O24" s="9"/>
      <c r="P24" s="8"/>
    </row>
    <row r="25" spans="1:16" ht="24">
      <c r="A25" s="45" t="s">
        <v>587</v>
      </c>
      <c r="B25" s="30">
        <v>72900</v>
      </c>
      <c r="C25" s="78" t="s">
        <v>29</v>
      </c>
      <c r="D25" s="31" t="s">
        <v>134</v>
      </c>
      <c r="E25" s="32" t="s">
        <v>18</v>
      </c>
      <c r="F25" s="33">
        <f>F24</f>
        <v>15.729181000000001</v>
      </c>
      <c r="G25" s="297">
        <v>5.9</v>
      </c>
      <c r="H25" s="34">
        <f t="shared" si="0"/>
        <v>7.2497632061012265</v>
      </c>
      <c r="I25" s="34">
        <f t="shared" si="1"/>
        <v>92.802167900000015</v>
      </c>
      <c r="J25" s="284">
        <f t="shared" si="2"/>
        <v>114.03283767590651</v>
      </c>
      <c r="K25" s="34">
        <v>15.729181000000001</v>
      </c>
      <c r="L25" s="34">
        <v>108.62110978620245</v>
      </c>
      <c r="M25" s="20"/>
      <c r="O25" s="9"/>
      <c r="P25" s="8"/>
    </row>
    <row r="26" spans="1:16" ht="24">
      <c r="A26" s="45" t="s">
        <v>588</v>
      </c>
      <c r="B26" s="30">
        <v>97663</v>
      </c>
      <c r="C26" s="78" t="s">
        <v>29</v>
      </c>
      <c r="D26" s="31" t="s">
        <v>360</v>
      </c>
      <c r="E26" s="32" t="s">
        <v>62</v>
      </c>
      <c r="F26" s="33">
        <f>'Calc Quant reforma'!H37</f>
        <v>4</v>
      </c>
      <c r="G26" s="297">
        <v>8.5500000000000007</v>
      </c>
      <c r="H26" s="34">
        <f t="shared" si="0"/>
        <v>10.506012781722964</v>
      </c>
      <c r="I26" s="34">
        <f t="shared" si="1"/>
        <v>34.200000000000003</v>
      </c>
      <c r="J26" s="284">
        <f t="shared" si="2"/>
        <v>42.024051126891855</v>
      </c>
      <c r="K26" s="34">
        <v>4</v>
      </c>
      <c r="L26" s="34">
        <v>40.303768332223761</v>
      </c>
      <c r="M26" s="20"/>
      <c r="O26" s="9"/>
      <c r="P26" s="8"/>
    </row>
    <row r="27" spans="1:16" ht="24">
      <c r="A27" s="45" t="s">
        <v>589</v>
      </c>
      <c r="B27" s="30">
        <v>97644</v>
      </c>
      <c r="C27" s="78" t="s">
        <v>29</v>
      </c>
      <c r="D27" s="31" t="s">
        <v>356</v>
      </c>
      <c r="E27" s="32" t="s">
        <v>19</v>
      </c>
      <c r="F27" s="33">
        <f>'Calc Quant reforma'!I37</f>
        <v>9.66</v>
      </c>
      <c r="G27" s="297">
        <v>5.95</v>
      </c>
      <c r="H27" s="34">
        <f>G27*(1+$I$5)</f>
        <v>7.3112018773393723</v>
      </c>
      <c r="I27" s="34">
        <f>F27*G27</f>
        <v>57.477000000000004</v>
      </c>
      <c r="J27" s="284">
        <f>F27*H27</f>
        <v>70.626210135098333</v>
      </c>
      <c r="K27" s="34">
        <v>9.66</v>
      </c>
      <c r="L27" s="34">
        <v>67.421323288631683</v>
      </c>
      <c r="M27" s="20"/>
      <c r="O27" s="9"/>
      <c r="P27" s="8"/>
    </row>
    <row r="28" spans="1:16" ht="24">
      <c r="A28" s="45" t="s">
        <v>590</v>
      </c>
      <c r="B28" s="30">
        <v>97645</v>
      </c>
      <c r="C28" s="78" t="s">
        <v>29</v>
      </c>
      <c r="D28" s="31" t="s">
        <v>357</v>
      </c>
      <c r="E28" s="32" t="s">
        <v>19</v>
      </c>
      <c r="F28" s="33">
        <f>'Calc Quant reforma'!J37</f>
        <v>17.996000000000002</v>
      </c>
      <c r="G28" s="297">
        <v>17.5</v>
      </c>
      <c r="H28" s="34">
        <f t="shared" si="0"/>
        <v>21.503534933351094</v>
      </c>
      <c r="I28" s="34">
        <f t="shared" si="1"/>
        <v>314.93000000000006</v>
      </c>
      <c r="J28" s="284">
        <f t="shared" si="2"/>
        <v>386.97761466058637</v>
      </c>
      <c r="K28" s="34">
        <v>17.996000000000002</v>
      </c>
      <c r="L28" s="34">
        <v>369.5083394844799</v>
      </c>
      <c r="M28" s="20"/>
      <c r="O28" s="9"/>
      <c r="P28" s="8"/>
    </row>
    <row r="29" spans="1:16" ht="36">
      <c r="A29" s="45" t="s">
        <v>591</v>
      </c>
      <c r="B29" s="30">
        <v>97647</v>
      </c>
      <c r="C29" s="78" t="s">
        <v>29</v>
      </c>
      <c r="D29" s="31" t="s">
        <v>353</v>
      </c>
      <c r="E29" s="32" t="s">
        <v>19</v>
      </c>
      <c r="F29" s="33">
        <f>'Calc Quant reforma'!K35</f>
        <v>85.1</v>
      </c>
      <c r="G29" s="297">
        <v>2.41</v>
      </c>
      <c r="H29" s="34">
        <f>G29*(1+$I$5)</f>
        <v>2.9613439536786363</v>
      </c>
      <c r="I29" s="34">
        <f>F29*G29</f>
        <v>205.09100000000001</v>
      </c>
      <c r="J29" s="284">
        <f>F29*H29</f>
        <v>252.01037045805194</v>
      </c>
      <c r="K29" s="34">
        <v>85.1</v>
      </c>
      <c r="L29" s="34">
        <v>241.55350861331948</v>
      </c>
      <c r="M29" s="20"/>
      <c r="O29" s="9"/>
      <c r="P29" s="8"/>
    </row>
    <row r="30" spans="1:16" ht="27" customHeight="1">
      <c r="A30" s="45" t="s">
        <v>592</v>
      </c>
      <c r="B30" s="30">
        <v>97650</v>
      </c>
      <c r="C30" s="78" t="s">
        <v>29</v>
      </c>
      <c r="D30" s="31" t="s">
        <v>352</v>
      </c>
      <c r="E30" s="32" t="s">
        <v>19</v>
      </c>
      <c r="F30" s="33">
        <f>'Calc Quant reforma'!K35</f>
        <v>85.1</v>
      </c>
      <c r="G30" s="297">
        <v>5.19</v>
      </c>
      <c r="H30" s="34">
        <f>G30*(1+$I$5)</f>
        <v>6.3773340745195535</v>
      </c>
      <c r="I30" s="34">
        <f>F30*G30</f>
        <v>441.66899999999998</v>
      </c>
      <c r="J30" s="284">
        <f>F30*H30</f>
        <v>542.71112974161395</v>
      </c>
      <c r="K30" s="34">
        <v>85.1</v>
      </c>
      <c r="L30" s="34">
        <v>519.70603368320246</v>
      </c>
      <c r="M30" s="20"/>
      <c r="O30" s="9"/>
      <c r="P30" s="8"/>
    </row>
    <row r="31" spans="1:16">
      <c r="A31" s="323" t="s">
        <v>593</v>
      </c>
      <c r="B31" s="324"/>
      <c r="C31" s="324"/>
      <c r="D31" s="324"/>
      <c r="E31" s="324"/>
      <c r="F31" s="324"/>
      <c r="G31" s="324"/>
      <c r="H31" s="324"/>
      <c r="I31" s="48">
        <f>SUM(I21:I30)</f>
        <v>2197.2588401800003</v>
      </c>
      <c r="J31" s="285">
        <f>SUM(J21:J30)</f>
        <v>2699.9332701385792</v>
      </c>
      <c r="K31" s="293"/>
      <c r="L31" s="293"/>
      <c r="M31" s="282"/>
      <c r="O31" s="9"/>
      <c r="P31" s="8"/>
    </row>
    <row r="32" spans="1:16">
      <c r="A32" s="43" t="s">
        <v>206</v>
      </c>
      <c r="B32" s="35"/>
      <c r="C32" s="27"/>
      <c r="D32" s="28" t="s">
        <v>4</v>
      </c>
      <c r="E32" s="36" t="s">
        <v>1</v>
      </c>
      <c r="F32" s="37"/>
      <c r="G32" s="38"/>
      <c r="H32" s="38"/>
      <c r="I32" s="29"/>
      <c r="J32" s="287"/>
      <c r="K32" s="29"/>
      <c r="L32" s="29"/>
      <c r="M32" s="281"/>
      <c r="O32" s="9"/>
      <c r="P32" s="8"/>
    </row>
    <row r="33" spans="1:16" ht="24">
      <c r="A33" s="45" t="s">
        <v>594</v>
      </c>
      <c r="B33" s="123">
        <v>93358</v>
      </c>
      <c r="C33" s="78" t="s">
        <v>29</v>
      </c>
      <c r="D33" s="31" t="s">
        <v>239</v>
      </c>
      <c r="E33" s="32" t="s">
        <v>18</v>
      </c>
      <c r="F33" s="33">
        <f>'Calc Quant reforma'!M37</f>
        <v>3.9560000000000004</v>
      </c>
      <c r="G33" s="297">
        <v>55.5</v>
      </c>
      <c r="H33" s="34">
        <f>G33*(1+$I$5)</f>
        <v>68.196925074342033</v>
      </c>
      <c r="I33" s="34">
        <f>F33*G33</f>
        <v>219.55800000000002</v>
      </c>
      <c r="J33" s="284">
        <f>F33*H33</f>
        <v>269.78703559409712</v>
      </c>
      <c r="K33" s="34">
        <v>3.9560000000000004</v>
      </c>
      <c r="L33" s="34">
        <v>255.93310673926513</v>
      </c>
      <c r="M33" s="20"/>
      <c r="O33" s="9"/>
      <c r="P33" s="8"/>
    </row>
    <row r="34" spans="1:16">
      <c r="A34" s="45" t="s">
        <v>595</v>
      </c>
      <c r="B34" s="123">
        <v>96995</v>
      </c>
      <c r="C34" s="78" t="s">
        <v>29</v>
      </c>
      <c r="D34" s="31" t="s">
        <v>379</v>
      </c>
      <c r="E34" s="32" t="s">
        <v>18</v>
      </c>
      <c r="F34" s="33">
        <f>'Calc Quant reforma'!S37</f>
        <v>0.95400000000000007</v>
      </c>
      <c r="G34" s="297">
        <v>33.65</v>
      </c>
      <c r="H34" s="34">
        <f>G34*(1+$I$5)</f>
        <v>41.348225743272245</v>
      </c>
      <c r="I34" s="34">
        <f>F34*G34</f>
        <v>32.1021</v>
      </c>
      <c r="J34" s="284">
        <f>F34*H34</f>
        <v>39.446207359081725</v>
      </c>
      <c r="K34" s="34">
        <v>0.95400000000000007</v>
      </c>
      <c r="L34" s="34">
        <v>23.444996944476507</v>
      </c>
      <c r="M34" s="20"/>
      <c r="O34" s="9"/>
      <c r="P34" s="8"/>
    </row>
    <row r="35" spans="1:16">
      <c r="A35" s="323" t="s">
        <v>596</v>
      </c>
      <c r="B35" s="324"/>
      <c r="C35" s="324"/>
      <c r="D35" s="324"/>
      <c r="E35" s="324"/>
      <c r="F35" s="324"/>
      <c r="G35" s="324"/>
      <c r="H35" s="324"/>
      <c r="I35" s="48">
        <f>SUM(I33:I34)</f>
        <v>251.66010000000003</v>
      </c>
      <c r="J35" s="285">
        <f>SUM(J33:J34)</f>
        <v>309.23324295317883</v>
      </c>
      <c r="K35" s="293"/>
      <c r="L35" s="293"/>
      <c r="M35" s="282"/>
      <c r="O35" s="9"/>
      <c r="P35" s="8"/>
    </row>
    <row r="36" spans="1:16">
      <c r="A36" s="43" t="s">
        <v>208</v>
      </c>
      <c r="B36" s="35"/>
      <c r="C36" s="27"/>
      <c r="D36" s="28" t="s">
        <v>17</v>
      </c>
      <c r="E36" s="36"/>
      <c r="F36" s="37"/>
      <c r="G36" s="38"/>
      <c r="H36" s="38"/>
      <c r="I36" s="29"/>
      <c r="J36" s="287"/>
      <c r="K36" s="29"/>
      <c r="L36" s="29"/>
      <c r="M36" s="281"/>
      <c r="O36" s="9"/>
      <c r="P36" s="8"/>
    </row>
    <row r="37" spans="1:16" ht="24">
      <c r="A37" s="45" t="s">
        <v>597</v>
      </c>
      <c r="B37" s="30">
        <v>95467</v>
      </c>
      <c r="C37" s="78" t="s">
        <v>29</v>
      </c>
      <c r="D37" s="31" t="s">
        <v>172</v>
      </c>
      <c r="E37" s="32" t="s">
        <v>18</v>
      </c>
      <c r="F37" s="33">
        <f>'Calc Quant reforma'!O37</f>
        <v>2.3735999999999997</v>
      </c>
      <c r="G37" s="297">
        <v>358.9</v>
      </c>
      <c r="H37" s="34">
        <f>G37*(1+$I$5)</f>
        <v>441.0067821474118</v>
      </c>
      <c r="I37" s="34">
        <f>F37*G37</f>
        <v>851.88503999999989</v>
      </c>
      <c r="J37" s="284">
        <f>F37*H37</f>
        <v>1046.7736981050966</v>
      </c>
      <c r="K37" s="34">
        <v>2.3735999999999997</v>
      </c>
      <c r="L37" s="34">
        <v>1000.0203339907898</v>
      </c>
      <c r="M37" s="20"/>
      <c r="O37" s="9"/>
      <c r="P37" s="8"/>
    </row>
    <row r="38" spans="1:16" ht="36">
      <c r="A38" s="45" t="s">
        <v>598</v>
      </c>
      <c r="B38" s="30">
        <v>87503</v>
      </c>
      <c r="C38" s="78" t="s">
        <v>29</v>
      </c>
      <c r="D38" s="31" t="s">
        <v>326</v>
      </c>
      <c r="E38" s="32" t="s">
        <v>18</v>
      </c>
      <c r="F38" s="33">
        <f>'Calc Quant reforma'!Q37</f>
        <v>0.79120000000000013</v>
      </c>
      <c r="G38" s="34">
        <v>51.15</v>
      </c>
      <c r="H38" s="34">
        <f>G38*(1+$I$5)</f>
        <v>62.851760676623336</v>
      </c>
      <c r="I38" s="34">
        <f>F38*G38</f>
        <v>40.469880000000003</v>
      </c>
      <c r="J38" s="284">
        <f>F38*H38</f>
        <v>49.728313047344393</v>
      </c>
      <c r="K38" s="34">
        <v>0.79120000000000013</v>
      </c>
      <c r="L38" s="34">
        <v>47.161690438449199</v>
      </c>
      <c r="M38" s="20"/>
      <c r="O38" s="9"/>
      <c r="P38" s="8"/>
    </row>
    <row r="39" spans="1:16" ht="36">
      <c r="A39" s="45" t="s">
        <v>599</v>
      </c>
      <c r="B39" s="30">
        <v>83534</v>
      </c>
      <c r="C39" s="78" t="s">
        <v>29</v>
      </c>
      <c r="D39" s="31" t="s">
        <v>566</v>
      </c>
      <c r="E39" s="32" t="s">
        <v>18</v>
      </c>
      <c r="F39" s="33">
        <f>'Calc Quant reforma'!U37</f>
        <v>0.72100000000000009</v>
      </c>
      <c r="G39" s="34">
        <v>484.66</v>
      </c>
      <c r="H39" s="34">
        <f>G39*(1+$I$5)</f>
        <v>595.53732804559661</v>
      </c>
      <c r="I39" s="34">
        <f>F39*G39</f>
        <v>349.43986000000007</v>
      </c>
      <c r="J39" s="284">
        <f>F39*H39</f>
        <v>429.38241352087522</v>
      </c>
      <c r="K39" s="34">
        <v>0.72100000000000009</v>
      </c>
      <c r="L39" s="34">
        <v>420.06226539592245</v>
      </c>
      <c r="M39" s="20"/>
      <c r="O39" s="9"/>
      <c r="P39" s="8"/>
    </row>
    <row r="40" spans="1:16">
      <c r="A40" s="323" t="s">
        <v>610</v>
      </c>
      <c r="B40" s="324"/>
      <c r="C40" s="324"/>
      <c r="D40" s="324"/>
      <c r="E40" s="324"/>
      <c r="F40" s="324"/>
      <c r="G40" s="324"/>
      <c r="H40" s="324"/>
      <c r="I40" s="48">
        <f>SUM(I37:I39)</f>
        <v>1241.7947799999999</v>
      </c>
      <c r="J40" s="285">
        <f>SUM(J37:J39)</f>
        <v>1525.8844246733163</v>
      </c>
      <c r="K40" s="293"/>
      <c r="L40" s="293"/>
      <c r="M40" s="282"/>
      <c r="O40" s="9"/>
      <c r="P40" s="8"/>
    </row>
    <row r="41" spans="1:16">
      <c r="A41" s="43" t="s">
        <v>210</v>
      </c>
      <c r="B41" s="35"/>
      <c r="C41" s="27"/>
      <c r="D41" s="28" t="s">
        <v>57</v>
      </c>
      <c r="E41" s="36" t="s">
        <v>2</v>
      </c>
      <c r="F41" s="37"/>
      <c r="G41" s="38"/>
      <c r="H41" s="38"/>
      <c r="I41" s="29"/>
      <c r="J41" s="287"/>
      <c r="K41" s="29"/>
      <c r="L41" s="29"/>
      <c r="M41" s="281"/>
      <c r="O41" s="9"/>
      <c r="P41" s="8"/>
    </row>
    <row r="42" spans="1:16" ht="24">
      <c r="A42" s="45" t="s">
        <v>600</v>
      </c>
      <c r="B42" s="30">
        <v>93184</v>
      </c>
      <c r="C42" s="78" t="s">
        <v>29</v>
      </c>
      <c r="D42" s="31" t="s">
        <v>175</v>
      </c>
      <c r="E42" s="32" t="s">
        <v>16</v>
      </c>
      <c r="F42" s="33">
        <f>'Calc Quant reforma'!V37</f>
        <v>6</v>
      </c>
      <c r="G42" s="34">
        <v>19.809999999999999</v>
      </c>
      <c r="H42" s="34">
        <f>G42*(1+$I$5)</f>
        <v>24.342001544553437</v>
      </c>
      <c r="I42" s="34">
        <f>F42*G42</f>
        <v>118.85999999999999</v>
      </c>
      <c r="J42" s="284">
        <f>F42*H42</f>
        <v>146.05200926732061</v>
      </c>
      <c r="K42" s="34">
        <v>6</v>
      </c>
      <c r="L42" s="34">
        <v>133.51852033473884</v>
      </c>
      <c r="M42" s="20"/>
      <c r="N42" s="3">
        <f>J42/$J$46</f>
        <v>7.568954223690802E-2</v>
      </c>
      <c r="O42" s="9"/>
      <c r="P42" s="8"/>
    </row>
    <row r="43" spans="1:16" ht="24">
      <c r="A43" s="45" t="s">
        <v>601</v>
      </c>
      <c r="B43" s="30">
        <v>93182</v>
      </c>
      <c r="C43" s="78" t="s">
        <v>29</v>
      </c>
      <c r="D43" s="31" t="s">
        <v>173</v>
      </c>
      <c r="E43" s="32" t="s">
        <v>16</v>
      </c>
      <c r="F43" s="33">
        <f>'Calc Quant reforma'!W37</f>
        <v>7.3000000000000007</v>
      </c>
      <c r="G43" s="34">
        <v>26.09</v>
      </c>
      <c r="H43" s="34">
        <f>G43*(1+$I$5)</f>
        <v>32.058698652064571</v>
      </c>
      <c r="I43" s="34">
        <f>F43*G43</f>
        <v>190.45700000000002</v>
      </c>
      <c r="J43" s="284">
        <f>F43*H43</f>
        <v>234.02850016007139</v>
      </c>
      <c r="K43" s="34">
        <v>7.3000000000000007</v>
      </c>
      <c r="L43" s="34">
        <v>213.30769389829427</v>
      </c>
      <c r="M43" s="20"/>
      <c r="N43" s="3">
        <f>J43/$J$46</f>
        <v>0.12128220718336523</v>
      </c>
      <c r="O43" s="9"/>
      <c r="P43" s="8"/>
    </row>
    <row r="44" spans="1:16" ht="48" customHeight="1">
      <c r="A44" s="45" t="s">
        <v>602</v>
      </c>
      <c r="B44" s="30">
        <v>95956</v>
      </c>
      <c r="C44" s="78" t="s">
        <v>29</v>
      </c>
      <c r="D44" s="31" t="s">
        <v>832</v>
      </c>
      <c r="E44" s="32" t="s">
        <v>19</v>
      </c>
      <c r="F44" s="33">
        <f>'Calc Quant reforma'!Y37</f>
        <v>0.3906</v>
      </c>
      <c r="G44" s="34">
        <v>1574.42</v>
      </c>
      <c r="H44" s="34">
        <f>G44*(1+$I$5)</f>
        <v>1934.6054554152361</v>
      </c>
      <c r="I44" s="34">
        <f>F44*G44</f>
        <v>614.96845200000007</v>
      </c>
      <c r="J44" s="284">
        <f>F44*H44</f>
        <v>755.65689088519116</v>
      </c>
      <c r="K44" s="34">
        <v>0.3906</v>
      </c>
      <c r="L44" s="34">
        <v>923.26813784275419</v>
      </c>
      <c r="M44" s="20"/>
      <c r="N44" s="3">
        <f>J44/$J$46</f>
        <v>0.3916092934714786</v>
      </c>
      <c r="O44" s="9"/>
      <c r="P44" s="8"/>
    </row>
    <row r="45" spans="1:16" ht="48">
      <c r="A45" s="45" t="s">
        <v>603</v>
      </c>
      <c r="B45" s="30" t="s">
        <v>374</v>
      </c>
      <c r="C45" s="78" t="s">
        <v>29</v>
      </c>
      <c r="D45" s="31" t="s">
        <v>373</v>
      </c>
      <c r="E45" s="32" t="s">
        <v>19</v>
      </c>
      <c r="F45" s="33">
        <f>'Calc Quant reforma'!Z37</f>
        <v>8.08</v>
      </c>
      <c r="G45" s="34">
        <v>79.959999999999994</v>
      </c>
      <c r="H45" s="34">
        <f>G45*(1+$I$5)</f>
        <v>98.252723044043051</v>
      </c>
      <c r="I45" s="34">
        <f>F45*G45</f>
        <v>646.07679999999993</v>
      </c>
      <c r="J45" s="284">
        <f>F45*H45</f>
        <v>793.88200219586781</v>
      </c>
      <c r="K45" s="34">
        <v>8.08</v>
      </c>
      <c r="L45" s="34">
        <v>781.07425103487901</v>
      </c>
      <c r="M45" s="20"/>
      <c r="N45" s="3">
        <f>J45/$J$46</f>
        <v>0.41141895710824816</v>
      </c>
      <c r="O45" s="56"/>
    </row>
    <row r="46" spans="1:16">
      <c r="A46" s="323" t="s">
        <v>609</v>
      </c>
      <c r="B46" s="324"/>
      <c r="C46" s="324"/>
      <c r="D46" s="324"/>
      <c r="E46" s="324"/>
      <c r="F46" s="324"/>
      <c r="G46" s="324"/>
      <c r="H46" s="324"/>
      <c r="I46" s="48">
        <f>SUM(I42:I45)</f>
        <v>1570.3622519999999</v>
      </c>
      <c r="J46" s="285">
        <f>SUM(J42:J45)</f>
        <v>1929.619402508451</v>
      </c>
      <c r="K46" s="293"/>
      <c r="L46" s="293"/>
      <c r="M46" s="282"/>
      <c r="O46" s="9"/>
      <c r="P46" s="8"/>
    </row>
    <row r="47" spans="1:16">
      <c r="A47" s="43" t="s">
        <v>604</v>
      </c>
      <c r="B47" s="35"/>
      <c r="C47" s="27"/>
      <c r="D47" s="28" t="s">
        <v>64</v>
      </c>
      <c r="E47" s="36"/>
      <c r="F47" s="37"/>
      <c r="G47" s="38"/>
      <c r="H47" s="38"/>
      <c r="I47" s="29"/>
      <c r="J47" s="287"/>
      <c r="K47" s="29"/>
      <c r="L47" s="29"/>
      <c r="M47" s="281"/>
      <c r="O47" s="8"/>
    </row>
    <row r="48" spans="1:16" ht="36">
      <c r="A48" s="45" t="s">
        <v>605</v>
      </c>
      <c r="B48" s="30">
        <v>87505</v>
      </c>
      <c r="C48" s="78" t="s">
        <v>29</v>
      </c>
      <c r="D48" s="31" t="s">
        <v>242</v>
      </c>
      <c r="E48" s="32" t="s">
        <v>19</v>
      </c>
      <c r="F48" s="33">
        <f>'Calc Quant reforma'!AB37</f>
        <v>48.94</v>
      </c>
      <c r="G48" s="34">
        <v>48.96</v>
      </c>
      <c r="H48" s="34">
        <f>G48*(1+$I$5)</f>
        <v>60.160746876392544</v>
      </c>
      <c r="I48" s="34">
        <f>F48*G48</f>
        <v>2396.1023999999998</v>
      </c>
      <c r="J48" s="284">
        <f>F48*H48</f>
        <v>2944.2669521306511</v>
      </c>
      <c r="K48" s="34">
        <v>52.440000000000005</v>
      </c>
      <c r="L48" s="34">
        <v>3461.5491073561666</v>
      </c>
      <c r="M48" s="20"/>
      <c r="N48" s="3">
        <f>J48/$J$52</f>
        <v>0.51121977505295702</v>
      </c>
      <c r="O48" s="3">
        <v>7797.96</v>
      </c>
      <c r="P48" s="180">
        <f>J48-O48</f>
        <v>-4853.6930478693484</v>
      </c>
    </row>
    <row r="49" spans="1:17" ht="74.25" customHeight="1">
      <c r="A49" s="45" t="s">
        <v>606</v>
      </c>
      <c r="B49" s="321" t="s">
        <v>455</v>
      </c>
      <c r="C49" s="322"/>
      <c r="D49" s="31" t="s">
        <v>500</v>
      </c>
      <c r="E49" s="32" t="s">
        <v>62</v>
      </c>
      <c r="F49" s="33">
        <v>1</v>
      </c>
      <c r="G49" s="34">
        <f>'COMPOSIÇÕES - REFORMAS'!H47</f>
        <v>1217.0472724444444</v>
      </c>
      <c r="H49" s="34">
        <f>G49*(1+$I$5)</f>
        <v>1495.4753450599301</v>
      </c>
      <c r="I49" s="34">
        <f>F49*G49</f>
        <v>1217.0472724444444</v>
      </c>
      <c r="J49" s="284">
        <f>F49*H49</f>
        <v>1495.4753450599301</v>
      </c>
      <c r="K49" s="34">
        <v>1</v>
      </c>
      <c r="L49" s="34">
        <v>1503.4028412521275</v>
      </c>
      <c r="M49" s="20"/>
      <c r="N49" s="3">
        <f>J49/$J$52</f>
        <v>0.25966278938991244</v>
      </c>
    </row>
    <row r="50" spans="1:17" ht="74.25" customHeight="1">
      <c r="A50" s="45" t="s">
        <v>607</v>
      </c>
      <c r="B50" s="321" t="s">
        <v>814</v>
      </c>
      <c r="C50" s="322"/>
      <c r="D50" s="31" t="s">
        <v>393</v>
      </c>
      <c r="E50" s="32" t="s">
        <v>62</v>
      </c>
      <c r="F50" s="33">
        <v>1</v>
      </c>
      <c r="G50" s="34">
        <f>'COMPOSIÇÕES - REFORMAS'!H60</f>
        <v>634.86528782222217</v>
      </c>
      <c r="H50" s="34">
        <f>G50*(1+$I$5)</f>
        <v>780.10559398040857</v>
      </c>
      <c r="I50" s="34">
        <f>F50*G50</f>
        <v>634.86528782222217</v>
      </c>
      <c r="J50" s="284">
        <f>F50*H50</f>
        <v>780.10559398040857</v>
      </c>
      <c r="K50" s="34">
        <v>1</v>
      </c>
      <c r="L50" s="34">
        <v>783.98530680810939</v>
      </c>
      <c r="M50" s="20"/>
      <c r="N50" s="3">
        <f>J50/$J$52</f>
        <v>0.13545151059879879</v>
      </c>
    </row>
    <row r="51" spans="1:17" ht="74.25" customHeight="1">
      <c r="A51" s="45" t="s">
        <v>608</v>
      </c>
      <c r="B51" s="321" t="s">
        <v>815</v>
      </c>
      <c r="C51" s="322"/>
      <c r="D51" s="31" t="s">
        <v>397</v>
      </c>
      <c r="E51" s="32" t="s">
        <v>62</v>
      </c>
      <c r="F51" s="33">
        <v>1</v>
      </c>
      <c r="G51" s="34">
        <f>'COMPOSIÇÕES - REFORMAS'!H74</f>
        <v>439.01499617777773</v>
      </c>
      <c r="H51" s="34">
        <f>G51*(1+$I$5)</f>
        <v>539.44996037564806</v>
      </c>
      <c r="I51" s="34">
        <f>F51*G51</f>
        <v>439.01499617777773</v>
      </c>
      <c r="J51" s="284">
        <f>F51*H51</f>
        <v>539.44996037564806</v>
      </c>
      <c r="K51" s="34">
        <v>1</v>
      </c>
      <c r="L51" s="34">
        <v>537.17170795244078</v>
      </c>
      <c r="M51" s="20"/>
      <c r="N51" s="3">
        <f>J51/$J$52</f>
        <v>9.3665924958331634E-2</v>
      </c>
    </row>
    <row r="52" spans="1:17">
      <c r="A52" s="323" t="s">
        <v>611</v>
      </c>
      <c r="B52" s="324"/>
      <c r="C52" s="324"/>
      <c r="D52" s="324"/>
      <c r="E52" s="324"/>
      <c r="F52" s="324"/>
      <c r="G52" s="324"/>
      <c r="H52" s="324"/>
      <c r="I52" s="48">
        <f>SUM(I48:I51)</f>
        <v>4687.029956444444</v>
      </c>
      <c r="J52" s="285">
        <f>SUM(J48:J51)</f>
        <v>5759.2978515466384</v>
      </c>
      <c r="K52" s="293"/>
      <c r="L52" s="293"/>
      <c r="M52" s="282"/>
    </row>
    <row r="53" spans="1:17">
      <c r="A53" s="43" t="s">
        <v>612</v>
      </c>
      <c r="B53" s="35"/>
      <c r="C53" s="27"/>
      <c r="D53" s="28" t="s">
        <v>7</v>
      </c>
      <c r="E53" s="36"/>
      <c r="F53" s="37"/>
      <c r="G53" s="38"/>
      <c r="H53" s="38"/>
      <c r="I53" s="29"/>
      <c r="J53" s="287"/>
      <c r="K53" s="29"/>
      <c r="L53" s="29"/>
      <c r="M53" s="281"/>
    </row>
    <row r="54" spans="1:17" ht="60">
      <c r="A54" s="45" t="s">
        <v>613</v>
      </c>
      <c r="B54" s="266">
        <v>94207</v>
      </c>
      <c r="C54" s="78" t="s">
        <v>29</v>
      </c>
      <c r="D54" s="31" t="s">
        <v>399</v>
      </c>
      <c r="E54" s="32" t="s">
        <v>236</v>
      </c>
      <c r="F54" s="33">
        <f>'Calc Quant reforma'!AD37</f>
        <v>63.26</v>
      </c>
      <c r="G54" s="34">
        <v>36.520000000000003</v>
      </c>
      <c r="H54" s="34">
        <f>G54*(1+$I$5)</f>
        <v>44.874805472341826</v>
      </c>
      <c r="I54" s="34">
        <f>F54*G54</f>
        <v>2310.2552000000001</v>
      </c>
      <c r="J54" s="284">
        <f>F54*H54</f>
        <v>2838.7801941803436</v>
      </c>
      <c r="K54" s="34">
        <v>63.26</v>
      </c>
      <c r="L54" s="34">
        <v>2967.0383354836727</v>
      </c>
      <c r="M54" s="20"/>
      <c r="N54" s="3">
        <f>J54/$J$59</f>
        <v>0.32226409177737053</v>
      </c>
    </row>
    <row r="55" spans="1:17" ht="72">
      <c r="A55" s="45" t="s">
        <v>614</v>
      </c>
      <c r="B55" s="266">
        <v>92566</v>
      </c>
      <c r="C55" s="78" t="s">
        <v>29</v>
      </c>
      <c r="D55" s="31" t="s">
        <v>398</v>
      </c>
      <c r="E55" s="32" t="s">
        <v>236</v>
      </c>
      <c r="F55" s="33">
        <f>'Calc Quant reforma'!AD37</f>
        <v>63.26</v>
      </c>
      <c r="G55" s="34">
        <v>16.46</v>
      </c>
      <c r="H55" s="34">
        <f>G55*(1+$I$5)</f>
        <v>20.22561057159766</v>
      </c>
      <c r="I55" s="34">
        <f>F55*G55</f>
        <v>1041.2596000000001</v>
      </c>
      <c r="J55" s="284">
        <f>F55*H55</f>
        <v>1279.4721247592679</v>
      </c>
      <c r="K55" s="34">
        <v>63.26</v>
      </c>
      <c r="L55" s="34">
        <v>1267.0349716631874</v>
      </c>
      <c r="M55" s="20"/>
      <c r="N55" s="3">
        <f>J55/$J$59</f>
        <v>0.14524827356669004</v>
      </c>
    </row>
    <row r="56" spans="1:17" ht="36">
      <c r="A56" s="45" t="s">
        <v>615</v>
      </c>
      <c r="B56" s="266">
        <v>96111</v>
      </c>
      <c r="C56" s="78" t="s">
        <v>29</v>
      </c>
      <c r="D56" s="31" t="s">
        <v>563</v>
      </c>
      <c r="E56" s="32" t="s">
        <v>236</v>
      </c>
      <c r="F56" s="33">
        <f>F74</f>
        <v>60.32</v>
      </c>
      <c r="G56" s="34">
        <v>41.74</v>
      </c>
      <c r="H56" s="34">
        <f>G56*(1+$I$5)</f>
        <v>51.289002749604265</v>
      </c>
      <c r="I56" s="34">
        <f>F56*G56</f>
        <v>2517.7568000000001</v>
      </c>
      <c r="J56" s="284">
        <f>F56*H56</f>
        <v>3093.7526458561292</v>
      </c>
      <c r="K56" s="34">
        <v>63.38</v>
      </c>
      <c r="L56" s="34">
        <v>3196.1812325068863</v>
      </c>
      <c r="M56" s="20"/>
      <c r="N56" s="3">
        <f>J56/$J$59</f>
        <v>0.35120908221234554</v>
      </c>
    </row>
    <row r="57" spans="1:17" ht="24">
      <c r="A57" s="45" t="s">
        <v>616</v>
      </c>
      <c r="B57" s="266">
        <v>94231</v>
      </c>
      <c r="C57" s="78" t="s">
        <v>29</v>
      </c>
      <c r="D57" s="31" t="s">
        <v>400</v>
      </c>
      <c r="E57" s="32" t="s">
        <v>16</v>
      </c>
      <c r="F57" s="33">
        <f>'Calc Quant reforma'!AE37</f>
        <v>34.299999999999997</v>
      </c>
      <c r="G57" s="34">
        <v>28.96</v>
      </c>
      <c r="H57" s="34">
        <f>G57*(1+$I$5)</f>
        <v>35.585278381134152</v>
      </c>
      <c r="I57" s="34">
        <f>F57*G57</f>
        <v>993.32799999999997</v>
      </c>
      <c r="J57" s="284">
        <f>F57*H57</f>
        <v>1220.5750484729012</v>
      </c>
      <c r="K57" s="34">
        <v>34.299999999999997</v>
      </c>
      <c r="L57" s="34">
        <v>1223.9468027504506</v>
      </c>
      <c r="M57" s="20"/>
      <c r="N57" s="3">
        <f>J57/$J$59</f>
        <v>0.13856215787633847</v>
      </c>
    </row>
    <row r="58" spans="1:17" ht="36">
      <c r="A58" s="45" t="s">
        <v>826</v>
      </c>
      <c r="B58" s="266">
        <v>94227</v>
      </c>
      <c r="C58" s="78" t="s">
        <v>29</v>
      </c>
      <c r="D58" s="31" t="s">
        <v>401</v>
      </c>
      <c r="E58" s="32" t="s">
        <v>16</v>
      </c>
      <c r="F58" s="33">
        <f>'Calc Quant reforma'!AF37</f>
        <v>7.61</v>
      </c>
      <c r="G58" s="34">
        <v>40.24</v>
      </c>
      <c r="H58" s="34">
        <f>G58*(1+$I$5)</f>
        <v>49.445842612459884</v>
      </c>
      <c r="I58" s="34">
        <f>F58*G58</f>
        <v>306.22640000000001</v>
      </c>
      <c r="J58" s="284">
        <f>F58*H58</f>
        <v>376.28286228081976</v>
      </c>
      <c r="K58" s="34">
        <v>7.61</v>
      </c>
      <c r="L58" s="34">
        <v>377.12444919943988</v>
      </c>
      <c r="M58" s="20"/>
      <c r="N58" s="3">
        <f>J58/$J$59</f>
        <v>4.2716394567255511E-2</v>
      </c>
    </row>
    <row r="59" spans="1:17">
      <c r="A59" s="323" t="s">
        <v>617</v>
      </c>
      <c r="B59" s="324"/>
      <c r="C59" s="324"/>
      <c r="D59" s="324"/>
      <c r="E59" s="324"/>
      <c r="F59" s="324"/>
      <c r="G59" s="324"/>
      <c r="H59" s="324"/>
      <c r="I59" s="48">
        <f>SUM(I54:I58)</f>
        <v>7168.8259999999991</v>
      </c>
      <c r="J59" s="285">
        <f>SUM(J54:J58)</f>
        <v>8808.862875549461</v>
      </c>
      <c r="K59" s="293"/>
      <c r="L59" s="293"/>
      <c r="M59" s="282"/>
    </row>
    <row r="60" spans="1:17">
      <c r="A60" s="43" t="s">
        <v>618</v>
      </c>
      <c r="B60" s="35"/>
      <c r="C60" s="27"/>
      <c r="D60" s="28" t="s">
        <v>8</v>
      </c>
      <c r="E60" s="36"/>
      <c r="F60" s="37"/>
      <c r="G60" s="38"/>
      <c r="H60" s="38"/>
      <c r="I60" s="29"/>
      <c r="J60" s="287"/>
      <c r="K60" s="29"/>
      <c r="L60" s="29"/>
      <c r="M60" s="281"/>
    </row>
    <row r="61" spans="1:17" ht="72">
      <c r="A61" s="45" t="s">
        <v>619</v>
      </c>
      <c r="B61" s="123">
        <v>90849</v>
      </c>
      <c r="C61" s="78" t="s">
        <v>29</v>
      </c>
      <c r="D61" s="31" t="s">
        <v>405</v>
      </c>
      <c r="E61" s="32" t="s">
        <v>62</v>
      </c>
      <c r="F61" s="33">
        <v>5</v>
      </c>
      <c r="G61" s="34">
        <v>644.07000000000005</v>
      </c>
      <c r="H61" s="34">
        <f>G61*(1+$I$5)</f>
        <v>791.4160996870537</v>
      </c>
      <c r="I61" s="34">
        <f>F61*G61</f>
        <v>3220.3500000000004</v>
      </c>
      <c r="J61" s="284">
        <f>F61*H61</f>
        <v>3957.0804984352685</v>
      </c>
      <c r="K61" s="34">
        <v>5</v>
      </c>
      <c r="L61" s="34">
        <v>3930.1089217617218</v>
      </c>
      <c r="M61" s="20"/>
      <c r="N61" s="3">
        <f>J61/$J$65</f>
        <v>0.69914780106309282</v>
      </c>
      <c r="O61" s="76"/>
    </row>
    <row r="62" spans="1:17" ht="24">
      <c r="A62" s="45" t="s">
        <v>620</v>
      </c>
      <c r="B62" s="30">
        <v>94581</v>
      </c>
      <c r="C62" s="78" t="s">
        <v>29</v>
      </c>
      <c r="D62" s="31" t="s">
        <v>406</v>
      </c>
      <c r="E62" s="32" t="s">
        <v>19</v>
      </c>
      <c r="F62" s="33">
        <f>'Calc Quant reforma'!H49</f>
        <v>0.15</v>
      </c>
      <c r="G62" s="34">
        <v>309.2</v>
      </c>
      <c r="H62" s="34">
        <f>G62*(1+$I$5)</f>
        <v>379.93674293669471</v>
      </c>
      <c r="I62" s="34">
        <f>F62*G62</f>
        <v>46.379999999999995</v>
      </c>
      <c r="J62" s="284">
        <f>F62*H62</f>
        <v>56.990511440504207</v>
      </c>
      <c r="K62" s="34">
        <v>0.15</v>
      </c>
      <c r="L62" s="34">
        <v>58.549824916528358</v>
      </c>
      <c r="M62" s="20"/>
      <c r="N62" s="3">
        <f>J62/$J$65</f>
        <v>1.0069239372523558E-2</v>
      </c>
      <c r="O62" s="8"/>
    </row>
    <row r="63" spans="1:17" ht="28.5" customHeight="1">
      <c r="A63" s="45" t="s">
        <v>621</v>
      </c>
      <c r="B63" s="30">
        <v>94582</v>
      </c>
      <c r="C63" s="78" t="s">
        <v>29</v>
      </c>
      <c r="D63" s="31" t="s">
        <v>407</v>
      </c>
      <c r="E63" s="32" t="s">
        <v>19</v>
      </c>
      <c r="F63" s="33">
        <f>'Calc Quant reforma'!H50</f>
        <v>5.28</v>
      </c>
      <c r="G63" s="34">
        <v>176.74</v>
      </c>
      <c r="H63" s="34">
        <f>G63*(1+$I$5)</f>
        <v>217.17341509259842</v>
      </c>
      <c r="I63" s="34">
        <f>F63*G63</f>
        <v>933.18720000000008</v>
      </c>
      <c r="J63" s="284">
        <f>F63*H63</f>
        <v>1146.6756316889198</v>
      </c>
      <c r="K63" s="34">
        <v>5.28</v>
      </c>
      <c r="L63" s="34">
        <v>1191.1179089157449</v>
      </c>
      <c r="M63" s="20"/>
      <c r="N63" s="3">
        <f>J63/$J$65</f>
        <v>0.20259778560101377</v>
      </c>
      <c r="O63" s="8"/>
    </row>
    <row r="64" spans="1:17" ht="24">
      <c r="A64" s="45" t="s">
        <v>622</v>
      </c>
      <c r="B64" s="30" t="s">
        <v>136</v>
      </c>
      <c r="C64" s="78" t="s">
        <v>29</v>
      </c>
      <c r="D64" s="31" t="s">
        <v>424</v>
      </c>
      <c r="E64" s="32" t="s">
        <v>16</v>
      </c>
      <c r="F64" s="122">
        <v>5.39</v>
      </c>
      <c r="G64" s="34">
        <v>75.36</v>
      </c>
      <c r="H64" s="34">
        <f>G64*(1+$I$5)</f>
        <v>92.600365290133624</v>
      </c>
      <c r="I64" s="34">
        <f>F64*G64</f>
        <v>406.19039999999995</v>
      </c>
      <c r="J64" s="284">
        <f>F64*H64</f>
        <v>499.11596891382021</v>
      </c>
      <c r="K64" s="34">
        <v>5.39</v>
      </c>
      <c r="L64" s="34">
        <v>482.16086168957156</v>
      </c>
      <c r="M64" s="20"/>
      <c r="N64" s="3">
        <f>J64/$J$65</f>
        <v>8.8185173963369848E-2</v>
      </c>
      <c r="O64" s="61"/>
      <c r="Q64" s="77"/>
    </row>
    <row r="65" spans="1:16">
      <c r="A65" s="323" t="s">
        <v>629</v>
      </c>
      <c r="B65" s="324"/>
      <c r="C65" s="324"/>
      <c r="D65" s="324"/>
      <c r="E65" s="324"/>
      <c r="F65" s="324"/>
      <c r="G65" s="324"/>
      <c r="H65" s="324"/>
      <c r="I65" s="48">
        <f>SUM(I61:I64)</f>
        <v>4606.1076000000012</v>
      </c>
      <c r="J65" s="285">
        <f>SUM(J61:J64)</f>
        <v>5659.8626104785126</v>
      </c>
      <c r="K65" s="293"/>
      <c r="L65" s="293"/>
      <c r="M65" s="282"/>
    </row>
    <row r="66" spans="1:16">
      <c r="A66" s="43" t="s">
        <v>623</v>
      </c>
      <c r="B66" s="35"/>
      <c r="C66" s="27"/>
      <c r="D66" s="28" t="s">
        <v>6</v>
      </c>
      <c r="E66" s="36"/>
      <c r="F66" s="37"/>
      <c r="G66" s="38"/>
      <c r="H66" s="38"/>
      <c r="I66" s="29"/>
      <c r="J66" s="287"/>
      <c r="K66" s="29"/>
      <c r="L66" s="29"/>
      <c r="M66" s="281"/>
    </row>
    <row r="67" spans="1:16">
      <c r="A67" s="45" t="s">
        <v>624</v>
      </c>
      <c r="B67" s="30">
        <v>87879</v>
      </c>
      <c r="C67" s="78" t="s">
        <v>29</v>
      </c>
      <c r="D67" s="31" t="s">
        <v>20</v>
      </c>
      <c r="E67" s="32" t="s">
        <v>19</v>
      </c>
      <c r="F67" s="33">
        <f>(F48*2)+(0.15*3*8)</f>
        <v>101.47999999999999</v>
      </c>
      <c r="G67" s="34">
        <v>2.69</v>
      </c>
      <c r="H67" s="34">
        <f>G67*(1+$I$5)</f>
        <v>3.3054005126122536</v>
      </c>
      <c r="I67" s="34">
        <f>F67*G67</f>
        <v>272.98119999999994</v>
      </c>
      <c r="J67" s="284">
        <f>F67*H67</f>
        <v>335.43204401989146</v>
      </c>
      <c r="K67" s="34">
        <v>108.48</v>
      </c>
      <c r="L67" s="34">
        <v>353.23795396344605</v>
      </c>
      <c r="M67" s="20"/>
      <c r="N67" s="3">
        <f>J67/$J$72</f>
        <v>6.5025755212061248E-2</v>
      </c>
      <c r="O67" s="8">
        <f>J67/$J$72</f>
        <v>6.5025755212061248E-2</v>
      </c>
    </row>
    <row r="68" spans="1:16" ht="72">
      <c r="A68" s="45" t="s">
        <v>625</v>
      </c>
      <c r="B68" s="30">
        <v>87536</v>
      </c>
      <c r="C68" s="78" t="s">
        <v>29</v>
      </c>
      <c r="D68" s="31" t="s">
        <v>156</v>
      </c>
      <c r="E68" s="32" t="s">
        <v>19</v>
      </c>
      <c r="F68" s="33">
        <f>'Calc Quant reforma'!AH37</f>
        <v>20.64</v>
      </c>
      <c r="G68" s="34">
        <v>27.28</v>
      </c>
      <c r="H68" s="34">
        <f>G68*(1+$I$5)</f>
        <v>33.520939027532449</v>
      </c>
      <c r="I68" s="34">
        <f>F68*G68</f>
        <v>563.05920000000003</v>
      </c>
      <c r="J68" s="284">
        <f>F68*H68</f>
        <v>691.87218152826972</v>
      </c>
      <c r="K68" s="34">
        <v>20.64</v>
      </c>
      <c r="L68" s="34">
        <v>669.55372405961577</v>
      </c>
      <c r="M68" s="20"/>
      <c r="N68" s="3">
        <f>J68/$J$72</f>
        <v>0.13412407048213956</v>
      </c>
      <c r="O68" s="8"/>
    </row>
    <row r="69" spans="1:16" ht="60">
      <c r="A69" s="45" t="s">
        <v>626</v>
      </c>
      <c r="B69" s="30">
        <v>87530</v>
      </c>
      <c r="C69" s="78" t="s">
        <v>29</v>
      </c>
      <c r="D69" s="31" t="s">
        <v>157</v>
      </c>
      <c r="E69" s="32" t="s">
        <v>19</v>
      </c>
      <c r="F69" s="33">
        <f>F67-(F68+F70)</f>
        <v>44.957999999999984</v>
      </c>
      <c r="G69" s="34">
        <v>30.67</v>
      </c>
      <c r="H69" s="34">
        <f>G69*(1+$I$5)</f>
        <v>37.686480937478748</v>
      </c>
      <c r="I69" s="34">
        <f>F69*G69</f>
        <v>1378.8618599999995</v>
      </c>
      <c r="J69" s="284">
        <f>F69*H69</f>
        <v>1694.3088099871691</v>
      </c>
      <c r="K69" s="34">
        <v>51.957999999999998</v>
      </c>
      <c r="L69" s="34">
        <v>1894.2695669456889</v>
      </c>
      <c r="M69" s="20"/>
      <c r="N69" s="3">
        <f>J69/$J$72</f>
        <v>0.32845314541663473</v>
      </c>
      <c r="O69" s="8"/>
    </row>
    <row r="70" spans="1:16" ht="48">
      <c r="A70" s="45" t="s">
        <v>627</v>
      </c>
      <c r="B70" s="30">
        <v>87777</v>
      </c>
      <c r="C70" s="78" t="s">
        <v>29</v>
      </c>
      <c r="D70" s="31" t="s">
        <v>158</v>
      </c>
      <c r="E70" s="32" t="s">
        <v>19</v>
      </c>
      <c r="F70" s="33">
        <f>'Calc Quant reforma'!AJ37</f>
        <v>35.882000000000005</v>
      </c>
      <c r="G70" s="34">
        <v>42.9</v>
      </c>
      <c r="H70" s="34">
        <f>G70*(1+$I$5)</f>
        <v>52.71437992232925</v>
      </c>
      <c r="I70" s="34">
        <f>F70*G70</f>
        <v>1539.3378000000002</v>
      </c>
      <c r="J70" s="284">
        <f>F70*H70</f>
        <v>1891.4973803730184</v>
      </c>
      <c r="K70" s="34">
        <v>35.882000000000005</v>
      </c>
      <c r="L70" s="34">
        <v>1827.1247422530973</v>
      </c>
      <c r="M70" s="20"/>
      <c r="N70" s="3">
        <f>J70/$J$72</f>
        <v>0.36667947452598532</v>
      </c>
      <c r="O70" s="8"/>
    </row>
    <row r="71" spans="1:16" ht="24">
      <c r="A71" s="45" t="s">
        <v>628</v>
      </c>
      <c r="B71" s="30">
        <v>87265</v>
      </c>
      <c r="C71" s="78" t="s">
        <v>29</v>
      </c>
      <c r="D71" s="31" t="s">
        <v>325</v>
      </c>
      <c r="E71" s="32" t="s">
        <v>19</v>
      </c>
      <c r="F71" s="33">
        <v>12.47</v>
      </c>
      <c r="G71" s="34">
        <v>35.590000000000003</v>
      </c>
      <c r="H71" s="34">
        <f>G71*(1+$I$5)</f>
        <v>43.732046187312314</v>
      </c>
      <c r="I71" s="34">
        <f>F71*G71</f>
        <v>443.80730000000005</v>
      </c>
      <c r="J71" s="284">
        <f>F71*H71</f>
        <v>545.33861595578458</v>
      </c>
      <c r="K71" s="34">
        <v>20.64</v>
      </c>
      <c r="L71" s="34">
        <v>954.87491328956571</v>
      </c>
      <c r="M71" s="20"/>
      <c r="N71" s="3">
        <f>J71/$J$72</f>
        <v>0.10571755436317899</v>
      </c>
      <c r="O71" s="8"/>
    </row>
    <row r="72" spans="1:16">
      <c r="A72" s="323" t="s">
        <v>630</v>
      </c>
      <c r="B72" s="324"/>
      <c r="C72" s="324"/>
      <c r="D72" s="324"/>
      <c r="E72" s="324"/>
      <c r="F72" s="324"/>
      <c r="G72" s="324"/>
      <c r="H72" s="324"/>
      <c r="I72" s="48">
        <f>SUM(I67:I71)</f>
        <v>4198.0473599999996</v>
      </c>
      <c r="J72" s="285">
        <f>SUM(J67:J71)</f>
        <v>5158.4490318641338</v>
      </c>
      <c r="K72" s="293"/>
      <c r="L72" s="293"/>
      <c r="M72" s="282"/>
    </row>
    <row r="73" spans="1:16">
      <c r="A73" s="43" t="s">
        <v>631</v>
      </c>
      <c r="B73" s="35"/>
      <c r="C73" s="27"/>
      <c r="D73" s="28" t="s">
        <v>58</v>
      </c>
      <c r="E73" s="36"/>
      <c r="F73" s="37" t="s">
        <v>74</v>
      </c>
      <c r="G73" s="38"/>
      <c r="H73" s="38"/>
      <c r="I73" s="29"/>
      <c r="J73" s="287"/>
      <c r="K73" s="29"/>
      <c r="L73" s="29"/>
      <c r="M73" s="281"/>
    </row>
    <row r="74" spans="1:16" ht="36">
      <c r="A74" s="45" t="s">
        <v>632</v>
      </c>
      <c r="B74" s="30">
        <v>84191</v>
      </c>
      <c r="C74" s="78" t="s">
        <v>29</v>
      </c>
      <c r="D74" s="31" t="s">
        <v>60</v>
      </c>
      <c r="E74" s="32" t="s">
        <v>19</v>
      </c>
      <c r="F74" s="33">
        <f>'Calc Quant reforma'!AK37</f>
        <v>60.32</v>
      </c>
      <c r="G74" s="34">
        <v>95.32</v>
      </c>
      <c r="H74" s="34">
        <f>G74*(1+$I$5)</f>
        <v>117.12668284840149</v>
      </c>
      <c r="I74" s="34">
        <f>F74*G74</f>
        <v>5749.7023999999992</v>
      </c>
      <c r="J74" s="284">
        <f>F74*H74</f>
        <v>7065.0815094155778</v>
      </c>
      <c r="K74" s="34">
        <v>63.38</v>
      </c>
      <c r="L74" s="34">
        <v>8305.8657028961861</v>
      </c>
      <c r="M74" s="20"/>
    </row>
    <row r="75" spans="1:16">
      <c r="A75" s="323" t="s">
        <v>633</v>
      </c>
      <c r="B75" s="324"/>
      <c r="C75" s="324"/>
      <c r="D75" s="324"/>
      <c r="E75" s="324"/>
      <c r="F75" s="324"/>
      <c r="G75" s="324"/>
      <c r="H75" s="324"/>
      <c r="I75" s="48">
        <f>SUM(I74:I74)</f>
        <v>5749.7023999999992</v>
      </c>
      <c r="J75" s="285">
        <f>SUM(J74:J74)</f>
        <v>7065.0815094155778</v>
      </c>
      <c r="K75" s="293"/>
      <c r="L75" s="293"/>
      <c r="M75" s="282"/>
    </row>
    <row r="76" spans="1:16">
      <c r="A76" s="43" t="s">
        <v>634</v>
      </c>
      <c r="B76" s="35"/>
      <c r="C76" s="27"/>
      <c r="D76" s="28" t="s">
        <v>5</v>
      </c>
      <c r="E76" s="36"/>
      <c r="F76" s="37"/>
      <c r="G76" s="38"/>
      <c r="H76" s="38"/>
      <c r="I76" s="29"/>
      <c r="J76" s="287"/>
      <c r="K76" s="29"/>
      <c r="L76" s="29"/>
      <c r="M76" s="281"/>
    </row>
    <row r="77" spans="1:16" ht="48">
      <c r="A77" s="45" t="s">
        <v>635</v>
      </c>
      <c r="B77" s="121">
        <v>91785</v>
      </c>
      <c r="C77" s="78" t="s">
        <v>29</v>
      </c>
      <c r="D77" s="31" t="s">
        <v>451</v>
      </c>
      <c r="E77" s="32" t="s">
        <v>16</v>
      </c>
      <c r="F77" s="33">
        <v>9.5399999999999991</v>
      </c>
      <c r="G77" s="34">
        <v>32.380000000000003</v>
      </c>
      <c r="H77" s="34">
        <f>G77*(1+$I$5)</f>
        <v>39.787683493823337</v>
      </c>
      <c r="I77" s="34">
        <f>F77*G77</f>
        <v>308.90519999999998</v>
      </c>
      <c r="J77" s="284">
        <f>F77*H77</f>
        <v>379.57450053107459</v>
      </c>
      <c r="K77" s="34">
        <v>9.5399999999999991</v>
      </c>
      <c r="L77" s="34">
        <v>374.76827615745691</v>
      </c>
      <c r="M77" s="20"/>
      <c r="N77" s="3">
        <f>J77/$J$87</f>
        <v>0.12789730230666291</v>
      </c>
      <c r="O77" s="129">
        <f>20+30.35+17.18+11.51+2.24+2.24+4.23+1.34+5.31+2.11+7.95+1.02+3.09+1.1+2.32</f>
        <v>111.99</v>
      </c>
      <c r="P77" s="129">
        <f t="shared" ref="P77:P86" si="3">O77-F77</f>
        <v>102.44999999999999</v>
      </c>
    </row>
    <row r="78" spans="1:16" ht="24">
      <c r="A78" s="45" t="s">
        <v>636</v>
      </c>
      <c r="B78" s="121">
        <v>89353</v>
      </c>
      <c r="C78" s="78" t="s">
        <v>29</v>
      </c>
      <c r="D78" s="31" t="s">
        <v>496</v>
      </c>
      <c r="E78" s="32" t="s">
        <v>62</v>
      </c>
      <c r="F78" s="33">
        <v>3</v>
      </c>
      <c r="G78" s="34">
        <v>33.43</v>
      </c>
      <c r="H78" s="34">
        <f>G78*(1+$I$5)</f>
        <v>41.077895589824401</v>
      </c>
      <c r="I78" s="34">
        <f>F78*G78</f>
        <v>100.28999999999999</v>
      </c>
      <c r="J78" s="284">
        <f>F78*H78</f>
        <v>123.23368676947319</v>
      </c>
      <c r="K78" s="34">
        <v>3</v>
      </c>
      <c r="L78" s="34">
        <v>121.39052663232883</v>
      </c>
      <c r="M78" s="20"/>
      <c r="N78" s="3">
        <f t="shared" ref="N78:N86" si="4">J78/$J$87</f>
        <v>4.152348503144402E-2</v>
      </c>
      <c r="O78" s="129">
        <v>10</v>
      </c>
      <c r="P78" s="129">
        <f t="shared" si="3"/>
        <v>7</v>
      </c>
    </row>
    <row r="79" spans="1:16" ht="48">
      <c r="A79" s="45" t="s">
        <v>637</v>
      </c>
      <c r="B79" s="121">
        <v>89957</v>
      </c>
      <c r="C79" s="78" t="s">
        <v>29</v>
      </c>
      <c r="D79" s="31" t="s">
        <v>430</v>
      </c>
      <c r="E79" s="32" t="s">
        <v>62</v>
      </c>
      <c r="F79" s="33">
        <v>8</v>
      </c>
      <c r="G79" s="34">
        <v>107.71</v>
      </c>
      <c r="H79" s="34">
        <f t="shared" ref="H79:H85" si="5">G79*(1+$I$5)</f>
        <v>132.35118558121405</v>
      </c>
      <c r="I79" s="34">
        <f t="shared" ref="I79:I85" si="6">F79*G79</f>
        <v>861.68</v>
      </c>
      <c r="J79" s="284">
        <f t="shared" ref="J79:J85" si="7">F79*H79</f>
        <v>1058.8094846497124</v>
      </c>
      <c r="K79" s="34">
        <v>8</v>
      </c>
      <c r="L79" s="34">
        <v>1035.4136386422265</v>
      </c>
      <c r="M79" s="20"/>
      <c r="N79" s="3">
        <f t="shared" si="4"/>
        <v>0.35676494747128012</v>
      </c>
      <c r="O79" s="129">
        <v>28</v>
      </c>
      <c r="P79" s="129">
        <f t="shared" si="3"/>
        <v>20</v>
      </c>
    </row>
    <row r="80" spans="1:16">
      <c r="A80" s="45" t="s">
        <v>638</v>
      </c>
      <c r="B80" s="321" t="s">
        <v>456</v>
      </c>
      <c r="C80" s="322"/>
      <c r="D80" s="31" t="s">
        <v>431</v>
      </c>
      <c r="E80" s="32" t="s">
        <v>21</v>
      </c>
      <c r="F80" s="33">
        <v>6</v>
      </c>
      <c r="G80" s="34">
        <f>'COMPOSIÇÕES - REFORMAS'!H129</f>
        <v>46.34675</v>
      </c>
      <c r="H80" s="34">
        <f t="shared" si="5"/>
        <v>56.949654724130845</v>
      </c>
      <c r="I80" s="34">
        <f t="shared" si="6"/>
        <v>278.08050000000003</v>
      </c>
      <c r="J80" s="284">
        <f t="shared" si="7"/>
        <v>341.69792834478505</v>
      </c>
      <c r="K80" s="34">
        <v>6</v>
      </c>
      <c r="L80" s="34">
        <v>340.02249578012078</v>
      </c>
      <c r="M80" s="20"/>
      <c r="N80" s="3">
        <f t="shared" si="4"/>
        <v>0.11513482380383358</v>
      </c>
      <c r="O80" s="129">
        <v>7</v>
      </c>
      <c r="P80" s="129">
        <f t="shared" si="3"/>
        <v>1</v>
      </c>
    </row>
    <row r="81" spans="1:16">
      <c r="A81" s="45" t="s">
        <v>639</v>
      </c>
      <c r="B81" s="321" t="s">
        <v>794</v>
      </c>
      <c r="C81" s="322"/>
      <c r="D81" s="31" t="s">
        <v>458</v>
      </c>
      <c r="E81" s="32" t="s">
        <v>21</v>
      </c>
      <c r="F81" s="33">
        <v>1</v>
      </c>
      <c r="G81" s="34">
        <f>'COMPOSIÇÕES - REFORMAS'!H151</f>
        <v>67.701999999999998</v>
      </c>
      <c r="H81" s="34">
        <f t="shared" si="5"/>
        <v>83.190418403299176</v>
      </c>
      <c r="I81" s="34">
        <f t="shared" si="6"/>
        <v>67.701999999999998</v>
      </c>
      <c r="J81" s="284">
        <f t="shared" si="7"/>
        <v>83.190418403299176</v>
      </c>
      <c r="K81" s="34">
        <v>1</v>
      </c>
      <c r="L81" s="34">
        <v>81.954272337987703</v>
      </c>
      <c r="M81" s="20"/>
      <c r="N81" s="3">
        <f t="shared" si="4"/>
        <v>2.803094010967019E-2</v>
      </c>
      <c r="O81" s="129">
        <v>5</v>
      </c>
      <c r="P81" s="129">
        <f t="shared" si="3"/>
        <v>4</v>
      </c>
    </row>
    <row r="82" spans="1:16">
      <c r="A82" s="45" t="s">
        <v>640</v>
      </c>
      <c r="B82" s="321" t="s">
        <v>794</v>
      </c>
      <c r="C82" s="322"/>
      <c r="D82" s="31" t="s">
        <v>457</v>
      </c>
      <c r="E82" s="32" t="s">
        <v>21</v>
      </c>
      <c r="F82" s="33">
        <v>1</v>
      </c>
      <c r="G82" s="34">
        <f>'COMPOSIÇÕES - REFORMAS'!H151</f>
        <v>67.701999999999998</v>
      </c>
      <c r="H82" s="34">
        <f>G82*(1+$I$5)</f>
        <v>83.190418403299176</v>
      </c>
      <c r="I82" s="34">
        <f>F82*G82</f>
        <v>67.701999999999998</v>
      </c>
      <c r="J82" s="284">
        <f>F82*H82</f>
        <v>83.190418403299176</v>
      </c>
      <c r="K82" s="34">
        <v>1</v>
      </c>
      <c r="L82" s="34">
        <v>81.954272337987703</v>
      </c>
      <c r="M82" s="20"/>
      <c r="N82" s="3">
        <f t="shared" si="4"/>
        <v>2.803094010967019E-2</v>
      </c>
      <c r="O82" s="129">
        <v>3</v>
      </c>
      <c r="P82" s="129">
        <f t="shared" si="3"/>
        <v>2</v>
      </c>
    </row>
    <row r="83" spans="1:16">
      <c r="A83" s="45" t="s">
        <v>641</v>
      </c>
      <c r="B83" s="121">
        <v>89707</v>
      </c>
      <c r="C83" s="78" t="s">
        <v>29</v>
      </c>
      <c r="D83" s="31" t="s">
        <v>434</v>
      </c>
      <c r="E83" s="32" t="s">
        <v>62</v>
      </c>
      <c r="F83" s="33">
        <v>2</v>
      </c>
      <c r="G83" s="34">
        <v>20.66</v>
      </c>
      <c r="H83" s="34">
        <f t="shared" si="5"/>
        <v>25.38645895560192</v>
      </c>
      <c r="I83" s="34">
        <f t="shared" si="6"/>
        <v>41.32</v>
      </c>
      <c r="J83" s="284">
        <f t="shared" si="7"/>
        <v>50.772917911203841</v>
      </c>
      <c r="K83" s="34">
        <v>2</v>
      </c>
      <c r="L83" s="34">
        <v>47.332352321867667</v>
      </c>
      <c r="M83" s="20"/>
      <c r="N83" s="3">
        <f t="shared" si="4"/>
        <v>1.7107891130713603E-2</v>
      </c>
      <c r="O83" s="129">
        <v>11</v>
      </c>
      <c r="P83" s="129">
        <f t="shared" si="3"/>
        <v>9</v>
      </c>
    </row>
    <row r="84" spans="1:16">
      <c r="A84" s="45" t="s">
        <v>642</v>
      </c>
      <c r="B84" s="121">
        <v>89709</v>
      </c>
      <c r="C84" s="78" t="s">
        <v>29</v>
      </c>
      <c r="D84" s="31" t="s">
        <v>254</v>
      </c>
      <c r="E84" s="32" t="s">
        <v>62</v>
      </c>
      <c r="F84" s="33">
        <v>1</v>
      </c>
      <c r="G84" s="34">
        <v>7.45</v>
      </c>
      <c r="H84" s="34">
        <f t="shared" si="5"/>
        <v>9.1543620144837519</v>
      </c>
      <c r="I84" s="34">
        <f t="shared" si="6"/>
        <v>7.45</v>
      </c>
      <c r="J84" s="284">
        <f t="shared" si="7"/>
        <v>9.1543620144837519</v>
      </c>
      <c r="K84" s="34">
        <v>1</v>
      </c>
      <c r="L84" s="34">
        <v>8.3310838198925961</v>
      </c>
      <c r="M84" s="20"/>
      <c r="N84" s="3">
        <f t="shared" si="4"/>
        <v>3.0845544270042681E-3</v>
      </c>
      <c r="O84" s="129">
        <v>3</v>
      </c>
      <c r="P84" s="129">
        <f t="shared" si="3"/>
        <v>2</v>
      </c>
    </row>
    <row r="85" spans="1:16">
      <c r="A85" s="45" t="s">
        <v>643</v>
      </c>
      <c r="B85" s="119">
        <v>98110</v>
      </c>
      <c r="C85" s="78" t="s">
        <v>29</v>
      </c>
      <c r="D85" s="31" t="s">
        <v>459</v>
      </c>
      <c r="E85" s="32" t="s">
        <v>62</v>
      </c>
      <c r="F85" s="33">
        <v>1</v>
      </c>
      <c r="G85" s="34">
        <v>295.57</v>
      </c>
      <c r="H85" s="34">
        <f t="shared" si="5"/>
        <v>363.18856115717614</v>
      </c>
      <c r="I85" s="34">
        <f t="shared" si="6"/>
        <v>295.57</v>
      </c>
      <c r="J85" s="284">
        <f t="shared" si="7"/>
        <v>363.18856115717614</v>
      </c>
      <c r="K85" s="34">
        <v>1</v>
      </c>
      <c r="L85" s="34">
        <v>310.52333217183741</v>
      </c>
      <c r="M85" s="20"/>
      <c r="N85" s="3">
        <f t="shared" si="4"/>
        <v>0.12237607409257065</v>
      </c>
      <c r="O85" s="129">
        <v>4</v>
      </c>
      <c r="P85" s="129">
        <f t="shared" si="3"/>
        <v>3</v>
      </c>
    </row>
    <row r="86" spans="1:16" ht="36">
      <c r="A86" s="45" t="s">
        <v>644</v>
      </c>
      <c r="B86" s="121" t="s">
        <v>245</v>
      </c>
      <c r="C86" s="78" t="s">
        <v>29</v>
      </c>
      <c r="D86" s="31" t="s">
        <v>460</v>
      </c>
      <c r="E86" s="32" t="s">
        <v>62</v>
      </c>
      <c r="F86" s="33">
        <v>2</v>
      </c>
      <c r="G86" s="34">
        <v>193.28</v>
      </c>
      <c r="H86" s="34">
        <f>G86*(1+$I$5)</f>
        <v>237.4973275381771</v>
      </c>
      <c r="I86" s="34">
        <f>F86*G86</f>
        <v>386.56</v>
      </c>
      <c r="J86" s="284">
        <f>F86*H86</f>
        <v>474.99465507635421</v>
      </c>
      <c r="K86" s="34">
        <v>2</v>
      </c>
      <c r="L86" s="34">
        <v>467.37625984282414</v>
      </c>
      <c r="M86" s="20"/>
      <c r="N86" s="3">
        <f t="shared" si="4"/>
        <v>0.1600490415171503</v>
      </c>
      <c r="O86" s="129">
        <v>14</v>
      </c>
      <c r="P86" s="129">
        <f t="shared" si="3"/>
        <v>12</v>
      </c>
    </row>
    <row r="87" spans="1:16">
      <c r="A87" s="323" t="s">
        <v>645</v>
      </c>
      <c r="B87" s="324"/>
      <c r="C87" s="324"/>
      <c r="D87" s="324"/>
      <c r="E87" s="324"/>
      <c r="F87" s="324"/>
      <c r="G87" s="324"/>
      <c r="H87" s="324"/>
      <c r="I87" s="48">
        <f>SUM(I77:I86)</f>
        <v>2415.2597000000001</v>
      </c>
      <c r="J87" s="285">
        <f>SUM(J77:J86)</f>
        <v>2967.806933260862</v>
      </c>
      <c r="K87" s="293"/>
      <c r="L87" s="293"/>
      <c r="M87" s="282"/>
    </row>
    <row r="88" spans="1:16">
      <c r="A88" s="43" t="s">
        <v>821</v>
      </c>
      <c r="B88" s="35"/>
      <c r="C88" s="27"/>
      <c r="D88" s="28" t="s">
        <v>63</v>
      </c>
      <c r="E88" s="36"/>
      <c r="F88" s="37"/>
      <c r="G88" s="38"/>
      <c r="H88" s="38"/>
      <c r="I88" s="29"/>
      <c r="J88" s="287"/>
      <c r="K88" s="29"/>
      <c r="L88" s="29"/>
      <c r="M88" s="281"/>
    </row>
    <row r="89" spans="1:16" s="141" customFormat="1" ht="48">
      <c r="A89" s="45" t="s">
        <v>646</v>
      </c>
      <c r="B89" s="30">
        <v>86931</v>
      </c>
      <c r="C89" s="78" t="s">
        <v>29</v>
      </c>
      <c r="D89" s="31" t="s">
        <v>66</v>
      </c>
      <c r="E89" s="32" t="s">
        <v>62</v>
      </c>
      <c r="F89" s="33">
        <v>1</v>
      </c>
      <c r="G89" s="34">
        <v>356.81</v>
      </c>
      <c r="H89" s="34">
        <f>G89*(1+$I$5)</f>
        <v>438.43864568965733</v>
      </c>
      <c r="I89" s="34">
        <f>F89*G89</f>
        <v>356.81</v>
      </c>
      <c r="J89" s="284">
        <f>F89*H89</f>
        <v>438.43864568965733</v>
      </c>
      <c r="K89" s="34">
        <v>1</v>
      </c>
      <c r="L89" s="34">
        <v>471.72611776648483</v>
      </c>
      <c r="M89" s="20"/>
      <c r="N89" s="141">
        <f>J89/$J$94</f>
        <v>0.30474525141800107</v>
      </c>
      <c r="O89" s="129">
        <v>3</v>
      </c>
      <c r="P89" s="129">
        <f>O89-F89</f>
        <v>2</v>
      </c>
    </row>
    <row r="90" spans="1:16" s="141" customFormat="1" ht="24">
      <c r="A90" s="45" t="s">
        <v>647</v>
      </c>
      <c r="B90" s="30">
        <v>95544</v>
      </c>
      <c r="C90" s="78" t="s">
        <v>29</v>
      </c>
      <c r="D90" s="31" t="s">
        <v>316</v>
      </c>
      <c r="E90" s="32" t="s">
        <v>62</v>
      </c>
      <c r="F90" s="33">
        <v>1</v>
      </c>
      <c r="G90" s="34">
        <v>24.29</v>
      </c>
      <c r="H90" s="34">
        <f>G90*(1+$I$5)</f>
        <v>29.846906487491317</v>
      </c>
      <c r="I90" s="34">
        <f>F90*G90</f>
        <v>24.29</v>
      </c>
      <c r="J90" s="284">
        <f>F90*H90</f>
        <v>29.846906487491317</v>
      </c>
      <c r="K90" s="34">
        <v>1</v>
      </c>
      <c r="L90" s="34">
        <v>27.844005805127757</v>
      </c>
      <c r="M90" s="20"/>
      <c r="N90" s="141">
        <f>J90/$J$94</f>
        <v>2.0745669002951841E-2</v>
      </c>
      <c r="O90" s="129">
        <v>5</v>
      </c>
      <c r="P90" s="129">
        <f>O90-F90</f>
        <v>4</v>
      </c>
    </row>
    <row r="91" spans="1:16" s="141" customFormat="1" ht="62.25" customHeight="1">
      <c r="A91" s="45" t="s">
        <v>648</v>
      </c>
      <c r="B91" s="30">
        <v>86942</v>
      </c>
      <c r="C91" s="78" t="s">
        <v>29</v>
      </c>
      <c r="D91" s="31" t="s">
        <v>160</v>
      </c>
      <c r="E91" s="32" t="s">
        <v>62</v>
      </c>
      <c r="F91" s="33">
        <v>2</v>
      </c>
      <c r="G91" s="34">
        <v>173.23</v>
      </c>
      <c r="H91" s="34">
        <f>G91*(1+$I$5)</f>
        <v>212.86042037168056</v>
      </c>
      <c r="I91" s="34">
        <f>F91*G91</f>
        <v>346.46</v>
      </c>
      <c r="J91" s="284">
        <f>F91*H91</f>
        <v>425.72084074336112</v>
      </c>
      <c r="K91" s="34">
        <v>2</v>
      </c>
      <c r="L91" s="34">
        <v>424.78697294054132</v>
      </c>
      <c r="M91" s="20"/>
      <c r="N91" s="141">
        <f>J91/$J$94</f>
        <v>0.29590549537927935</v>
      </c>
      <c r="O91" s="129">
        <v>8</v>
      </c>
      <c r="P91" s="129">
        <f>O91-F91</f>
        <v>6</v>
      </c>
    </row>
    <row r="92" spans="1:16" s="141" customFormat="1" ht="36">
      <c r="A92" s="45" t="s">
        <v>649</v>
      </c>
      <c r="B92" s="30">
        <v>95547</v>
      </c>
      <c r="C92" s="78" t="s">
        <v>29</v>
      </c>
      <c r="D92" s="31" t="s">
        <v>161</v>
      </c>
      <c r="E92" s="32" t="s">
        <v>62</v>
      </c>
      <c r="F92" s="33">
        <v>6</v>
      </c>
      <c r="G92" s="34">
        <v>65.400000000000006</v>
      </c>
      <c r="H92" s="34">
        <f>G92*(1+$I$5)</f>
        <v>80.36178197949495</v>
      </c>
      <c r="I92" s="34">
        <f>F92*G92</f>
        <v>392.40000000000003</v>
      </c>
      <c r="J92" s="284">
        <f>F92*H92</f>
        <v>482.17069187696973</v>
      </c>
      <c r="K92" s="34">
        <v>6</v>
      </c>
      <c r="L92" s="34">
        <v>428.71904789978259</v>
      </c>
      <c r="M92" s="20"/>
      <c r="N92" s="141">
        <f>J92/$J$94</f>
        <v>0.33514205503327721</v>
      </c>
      <c r="O92" s="129">
        <v>15</v>
      </c>
      <c r="P92" s="129">
        <f>O92-F92</f>
        <v>9</v>
      </c>
    </row>
    <row r="93" spans="1:16" s="141" customFormat="1" ht="24">
      <c r="A93" s="45" t="s">
        <v>650</v>
      </c>
      <c r="B93" s="321" t="s">
        <v>796</v>
      </c>
      <c r="C93" s="322"/>
      <c r="D93" s="31" t="s">
        <v>508</v>
      </c>
      <c r="E93" s="32" t="s">
        <v>62</v>
      </c>
      <c r="F93" s="33">
        <v>1</v>
      </c>
      <c r="G93" s="34">
        <f>'COMPOSIÇÕES - REFORMAS'!H173</f>
        <v>50.886792</v>
      </c>
      <c r="H93" s="34">
        <f>G93*(1+$I$5)</f>
        <v>62.528337681038337</v>
      </c>
      <c r="I93" s="34">
        <f>F93*G93</f>
        <v>50.886792</v>
      </c>
      <c r="J93" s="284">
        <f>F93*H93</f>
        <v>62.528337681038337</v>
      </c>
      <c r="K93" s="34">
        <v>1</v>
      </c>
      <c r="L93" s="34">
        <v>66.74874186685345</v>
      </c>
      <c r="M93" s="20"/>
      <c r="N93" s="141">
        <f>J93/$J$94</f>
        <v>4.3461529166490639E-2</v>
      </c>
      <c r="O93" s="129">
        <v>2</v>
      </c>
      <c r="P93" s="129">
        <f>O93-F93</f>
        <v>1</v>
      </c>
    </row>
    <row r="94" spans="1:16">
      <c r="A94" s="323" t="s">
        <v>651</v>
      </c>
      <c r="B94" s="324"/>
      <c r="C94" s="324"/>
      <c r="D94" s="324"/>
      <c r="E94" s="324"/>
      <c r="F94" s="324"/>
      <c r="G94" s="324"/>
      <c r="H94" s="324"/>
      <c r="I94" s="48">
        <f>SUM(I89:I93)</f>
        <v>1170.8467920000001</v>
      </c>
      <c r="J94" s="285">
        <f>SUM(J89:J93)</f>
        <v>1438.7054224785177</v>
      </c>
      <c r="K94" s="293"/>
      <c r="L94" s="293"/>
      <c r="M94" s="282"/>
    </row>
    <row r="95" spans="1:16">
      <c r="A95" s="43" t="s">
        <v>652</v>
      </c>
      <c r="B95" s="35"/>
      <c r="C95" s="27"/>
      <c r="D95" s="28" t="s">
        <v>15</v>
      </c>
      <c r="E95" s="36"/>
      <c r="F95" s="37"/>
      <c r="G95" s="38"/>
      <c r="H95" s="38"/>
      <c r="I95" s="29"/>
      <c r="J95" s="287"/>
      <c r="K95" s="29"/>
      <c r="L95" s="29"/>
      <c r="M95" s="281"/>
    </row>
    <row r="96" spans="1:16" ht="48">
      <c r="A96" s="45" t="s">
        <v>653</v>
      </c>
      <c r="B96" s="30">
        <v>93128</v>
      </c>
      <c r="C96" s="78" t="s">
        <v>29</v>
      </c>
      <c r="D96" s="31" t="s">
        <v>545</v>
      </c>
      <c r="E96" s="32" t="s">
        <v>62</v>
      </c>
      <c r="F96" s="33">
        <v>10</v>
      </c>
      <c r="G96" s="34">
        <v>109.36</v>
      </c>
      <c r="H96" s="34">
        <f>G96*(1+$I$5)</f>
        <v>134.37866173207289</v>
      </c>
      <c r="I96" s="34">
        <f>F96*G96</f>
        <v>1093.5999999999999</v>
      </c>
      <c r="J96" s="284">
        <f>F96*H96</f>
        <v>1343.786617320729</v>
      </c>
      <c r="K96" s="34">
        <v>10</v>
      </c>
      <c r="L96" s="34">
        <v>1329.2870909085266</v>
      </c>
      <c r="M96" s="20"/>
      <c r="N96" s="3">
        <f>J96/$J$101</f>
        <v>0.21832657551092932</v>
      </c>
      <c r="O96" s="129">
        <v>73</v>
      </c>
      <c r="P96" s="129">
        <f>O96-F96</f>
        <v>63</v>
      </c>
    </row>
    <row r="97" spans="1:16" ht="24">
      <c r="A97" s="45" t="s">
        <v>654</v>
      </c>
      <c r="B97" s="30">
        <v>97605</v>
      </c>
      <c r="C97" s="78" t="s">
        <v>29</v>
      </c>
      <c r="D97" s="31" t="s">
        <v>546</v>
      </c>
      <c r="E97" s="32" t="s">
        <v>62</v>
      </c>
      <c r="F97" s="33">
        <v>5</v>
      </c>
      <c r="G97" s="34">
        <v>82.05</v>
      </c>
      <c r="H97" s="34">
        <f>G97*(1+$I$5)</f>
        <v>100.82085950179756</v>
      </c>
      <c r="I97" s="34">
        <f>F97*G97</f>
        <v>410.25</v>
      </c>
      <c r="J97" s="284">
        <f>F97*H97</f>
        <v>504.10429750898777</v>
      </c>
      <c r="K97" s="34">
        <v>5</v>
      </c>
      <c r="L97" s="34">
        <v>474.92092867086842</v>
      </c>
      <c r="M97" s="20"/>
      <c r="N97" s="3">
        <f>J97/$J$101</f>
        <v>8.1902411853839382E-2</v>
      </c>
      <c r="O97" s="129">
        <v>13</v>
      </c>
      <c r="P97" s="129">
        <f>O97-F97</f>
        <v>8</v>
      </c>
    </row>
    <row r="98" spans="1:16" ht="36">
      <c r="A98" s="45" t="s">
        <v>655</v>
      </c>
      <c r="B98" s="30">
        <v>97585</v>
      </c>
      <c r="C98" s="78" t="s">
        <v>29</v>
      </c>
      <c r="D98" s="31" t="s">
        <v>547</v>
      </c>
      <c r="E98" s="32" t="s">
        <v>62</v>
      </c>
      <c r="F98" s="33">
        <f>F96-F97</f>
        <v>5</v>
      </c>
      <c r="G98" s="34">
        <v>77.66</v>
      </c>
      <c r="H98" s="34">
        <f>G98*(1+$I$5)</f>
        <v>95.426544167088338</v>
      </c>
      <c r="I98" s="34">
        <f>F98*G98</f>
        <v>388.29999999999995</v>
      </c>
      <c r="J98" s="284">
        <f>F98*H98</f>
        <v>477.13272083544166</v>
      </c>
      <c r="K98" s="34">
        <v>5</v>
      </c>
      <c r="L98" s="34">
        <v>401.37883919880773</v>
      </c>
      <c r="M98" s="20"/>
      <c r="N98" s="3">
        <f>J98/$J$101</f>
        <v>7.7520308404255528E-2</v>
      </c>
      <c r="O98" s="129">
        <f>O96-O97</f>
        <v>60</v>
      </c>
      <c r="P98" s="129">
        <f>O98-F98</f>
        <v>55</v>
      </c>
    </row>
    <row r="99" spans="1:16" ht="36">
      <c r="A99" s="45" t="s">
        <v>656</v>
      </c>
      <c r="B99" s="30">
        <v>93141</v>
      </c>
      <c r="C99" s="78" t="s">
        <v>29</v>
      </c>
      <c r="D99" s="31" t="s">
        <v>164</v>
      </c>
      <c r="E99" s="32" t="s">
        <v>62</v>
      </c>
      <c r="F99" s="33">
        <v>19</v>
      </c>
      <c r="G99" s="34">
        <v>130.22</v>
      </c>
      <c r="H99" s="34">
        <f>G99*(1+$I$5)</f>
        <v>160.0108753726274</v>
      </c>
      <c r="I99" s="34">
        <f>F99*G99</f>
        <v>2474.1799999999998</v>
      </c>
      <c r="J99" s="284">
        <f>F99*H99</f>
        <v>3040.2066320799204</v>
      </c>
      <c r="K99" s="34">
        <v>19</v>
      </c>
      <c r="L99" s="34">
        <v>3038.1054295235758</v>
      </c>
      <c r="M99" s="20"/>
      <c r="N99" s="3">
        <f>J99/$J$101</f>
        <v>0.49394590947113304</v>
      </c>
      <c r="O99" s="129">
        <v>60</v>
      </c>
      <c r="P99" s="129">
        <f>O99-F99</f>
        <v>41</v>
      </c>
    </row>
    <row r="100" spans="1:16" ht="49.5" customHeight="1">
      <c r="A100" s="45" t="s">
        <v>657</v>
      </c>
      <c r="B100" s="30">
        <v>93144</v>
      </c>
      <c r="C100" s="78" t="s">
        <v>29</v>
      </c>
      <c r="D100" s="31" t="s">
        <v>548</v>
      </c>
      <c r="E100" s="32" t="s">
        <v>62</v>
      </c>
      <c r="F100" s="33">
        <v>4</v>
      </c>
      <c r="G100" s="34">
        <v>160.66999999999999</v>
      </c>
      <c r="H100" s="34">
        <f>G100*(1+$I$5)</f>
        <v>197.42702615665829</v>
      </c>
      <c r="I100" s="34">
        <f>F100*G100</f>
        <v>642.67999999999995</v>
      </c>
      <c r="J100" s="284">
        <f>F100*H100</f>
        <v>789.70810462663314</v>
      </c>
      <c r="K100" s="34">
        <v>4</v>
      </c>
      <c r="L100" s="34">
        <v>809.6633850447829</v>
      </c>
      <c r="M100" s="20"/>
      <c r="N100" s="3">
        <f>J100/$J$101</f>
        <v>0.12830479475984277</v>
      </c>
      <c r="O100" s="129">
        <v>7</v>
      </c>
      <c r="P100" s="129">
        <f>O100-F100</f>
        <v>3</v>
      </c>
    </row>
    <row r="101" spans="1:16">
      <c r="A101" s="323" t="s">
        <v>666</v>
      </c>
      <c r="B101" s="324"/>
      <c r="C101" s="324"/>
      <c r="D101" s="324"/>
      <c r="E101" s="324"/>
      <c r="F101" s="324"/>
      <c r="G101" s="324"/>
      <c r="H101" s="324"/>
      <c r="I101" s="48">
        <f>SUM(I96:I100)</f>
        <v>5009.01</v>
      </c>
      <c r="J101" s="285">
        <f>SUM(J96:J100)</f>
        <v>6154.9383723717119</v>
      </c>
      <c r="K101" s="293"/>
      <c r="L101" s="293"/>
      <c r="M101" s="282"/>
    </row>
    <row r="102" spans="1:16">
      <c r="A102" s="43" t="s">
        <v>658</v>
      </c>
      <c r="B102" s="35"/>
      <c r="C102" s="27"/>
      <c r="D102" s="28" t="s">
        <v>3</v>
      </c>
      <c r="E102" s="36"/>
      <c r="F102" s="37"/>
      <c r="G102" s="38"/>
      <c r="H102" s="38"/>
      <c r="I102" s="29"/>
      <c r="J102" s="287"/>
      <c r="K102" s="29"/>
      <c r="L102" s="29"/>
      <c r="M102" s="281"/>
    </row>
    <row r="103" spans="1:16" ht="36">
      <c r="A103" s="45" t="s">
        <v>659</v>
      </c>
      <c r="B103" s="30">
        <v>88411</v>
      </c>
      <c r="C103" s="78" t="s">
        <v>29</v>
      </c>
      <c r="D103" s="31" t="s">
        <v>549</v>
      </c>
      <c r="E103" s="32" t="s">
        <v>19</v>
      </c>
      <c r="F103" s="33">
        <f>F105+F106+F107</f>
        <v>332.31299999999999</v>
      </c>
      <c r="G103" s="34">
        <v>1.88</v>
      </c>
      <c r="H103" s="34">
        <f t="shared" ref="H103:H108" si="8">G103*(1+$I$5)</f>
        <v>2.310094038554289</v>
      </c>
      <c r="I103" s="34">
        <f t="shared" ref="I103:I108" si="9">F103*G103</f>
        <v>624.74843999999996</v>
      </c>
      <c r="J103" s="284">
        <f t="shared" ref="J103:J108" si="10">F103*H103</f>
        <v>767.67428023409138</v>
      </c>
      <c r="K103" s="34">
        <v>340.178</v>
      </c>
      <c r="L103" s="34">
        <v>781.66315298643099</v>
      </c>
      <c r="M103" s="20"/>
    </row>
    <row r="104" spans="1:16" ht="24">
      <c r="A104" s="45" t="s">
        <v>660</v>
      </c>
      <c r="B104" s="30">
        <v>88495</v>
      </c>
      <c r="C104" s="78" t="s">
        <v>29</v>
      </c>
      <c r="D104" s="31" t="s">
        <v>550</v>
      </c>
      <c r="E104" s="32" t="s">
        <v>19</v>
      </c>
      <c r="F104" s="33">
        <f>F103</f>
        <v>332.31299999999999</v>
      </c>
      <c r="G104" s="34">
        <v>6.82</v>
      </c>
      <c r="H104" s="34">
        <f t="shared" si="8"/>
        <v>8.3802347568831124</v>
      </c>
      <c r="I104" s="34">
        <f t="shared" si="9"/>
        <v>2266.3746599999999</v>
      </c>
      <c r="J104" s="284">
        <f t="shared" si="10"/>
        <v>2784.8609527640974</v>
      </c>
      <c r="K104" s="34">
        <v>340.178</v>
      </c>
      <c r="L104" s="34">
        <v>3787.0952759663446</v>
      </c>
      <c r="M104" s="20"/>
    </row>
    <row r="105" spans="1:16" ht="24">
      <c r="A105" s="45" t="s">
        <v>661</v>
      </c>
      <c r="B105" s="30">
        <v>88487</v>
      </c>
      <c r="C105" s="78" t="s">
        <v>29</v>
      </c>
      <c r="D105" s="31" t="s">
        <v>168</v>
      </c>
      <c r="E105" s="32" t="s">
        <v>19</v>
      </c>
      <c r="F105" s="33">
        <f>'Calc Quant reforma'!AM37</f>
        <v>235.95</v>
      </c>
      <c r="G105" s="34">
        <v>8.1199999999999992</v>
      </c>
      <c r="H105" s="34">
        <f t="shared" si="8"/>
        <v>9.9776402090749059</v>
      </c>
      <c r="I105" s="34">
        <f t="shared" si="9"/>
        <v>1915.9139999999998</v>
      </c>
      <c r="J105" s="284">
        <f t="shared" si="10"/>
        <v>2354.2242073312241</v>
      </c>
      <c r="K105" s="34">
        <v>243.81500000000003</v>
      </c>
      <c r="L105" s="34">
        <v>2208.0033031566704</v>
      </c>
      <c r="M105" s="20"/>
    </row>
    <row r="106" spans="1:16" ht="24">
      <c r="A106" s="45" t="s">
        <v>662</v>
      </c>
      <c r="B106" s="30">
        <v>88487</v>
      </c>
      <c r="C106" s="78" t="s">
        <v>29</v>
      </c>
      <c r="D106" s="31" t="s">
        <v>169</v>
      </c>
      <c r="E106" s="32" t="s">
        <v>19</v>
      </c>
      <c r="F106" s="33">
        <f>11.7*4.3</f>
        <v>50.309999999999995</v>
      </c>
      <c r="G106" s="34">
        <v>8.1199999999999992</v>
      </c>
      <c r="H106" s="34">
        <f t="shared" si="8"/>
        <v>9.9776402090749059</v>
      </c>
      <c r="I106" s="34">
        <f t="shared" si="9"/>
        <v>408.51719999999995</v>
      </c>
      <c r="J106" s="284">
        <f t="shared" si="10"/>
        <v>501.97507891855849</v>
      </c>
      <c r="K106" s="34">
        <v>50.309999999999995</v>
      </c>
      <c r="L106" s="34">
        <v>455.61038566869166</v>
      </c>
      <c r="M106" s="20"/>
    </row>
    <row r="107" spans="1:16" ht="36">
      <c r="A107" s="45" t="s">
        <v>663</v>
      </c>
      <c r="B107" s="321" t="s">
        <v>807</v>
      </c>
      <c r="C107" s="322"/>
      <c r="D107" s="31" t="s">
        <v>551</v>
      </c>
      <c r="E107" s="32" t="s">
        <v>19</v>
      </c>
      <c r="F107" s="33">
        <f>10.71*4.3</f>
        <v>46.053000000000004</v>
      </c>
      <c r="G107" s="34">
        <f>'COMPOSIÇÕES - REFORMAS'!H312</f>
        <v>10.655999999999999</v>
      </c>
      <c r="H107" s="34">
        <f t="shared" si="8"/>
        <v>13.09380961427367</v>
      </c>
      <c r="I107" s="34">
        <f t="shared" si="9"/>
        <v>490.740768</v>
      </c>
      <c r="J107" s="284">
        <f t="shared" si="10"/>
        <v>603.0092141661454</v>
      </c>
      <c r="K107" s="34">
        <v>46.053000000000004</v>
      </c>
      <c r="L107" s="34">
        <v>584.1708350937065</v>
      </c>
      <c r="M107" s="20"/>
    </row>
    <row r="108" spans="1:16" ht="36">
      <c r="A108" s="45" t="s">
        <v>664</v>
      </c>
      <c r="B108" s="30" t="s">
        <v>22</v>
      </c>
      <c r="C108" s="78" t="s">
        <v>29</v>
      </c>
      <c r="D108" s="31" t="s">
        <v>71</v>
      </c>
      <c r="E108" s="32" t="s">
        <v>19</v>
      </c>
      <c r="F108" s="33">
        <f>((0.8*2.1*2.5)*F61)</f>
        <v>21</v>
      </c>
      <c r="G108" s="34">
        <v>18.29</v>
      </c>
      <c r="H108" s="34">
        <f t="shared" si="8"/>
        <v>22.474265938913799</v>
      </c>
      <c r="I108" s="34">
        <f t="shared" si="9"/>
        <v>384.09</v>
      </c>
      <c r="J108" s="284">
        <f t="shared" si="10"/>
        <v>471.95958471718978</v>
      </c>
      <c r="K108" s="34">
        <v>21</v>
      </c>
      <c r="L108" s="34">
        <v>457.50920924197789</v>
      </c>
      <c r="M108" s="20"/>
    </row>
    <row r="109" spans="1:16">
      <c r="A109" s="323" t="s">
        <v>665</v>
      </c>
      <c r="B109" s="324"/>
      <c r="C109" s="324"/>
      <c r="D109" s="324"/>
      <c r="E109" s="324"/>
      <c r="F109" s="324"/>
      <c r="G109" s="324"/>
      <c r="H109" s="324"/>
      <c r="I109" s="48">
        <f>SUM(I103:I108)</f>
        <v>6090.3850679999996</v>
      </c>
      <c r="J109" s="285">
        <f>SUM(J103:J108)</f>
        <v>7483.7033181313063</v>
      </c>
      <c r="K109" s="293"/>
      <c r="L109" s="293"/>
      <c r="M109" s="282"/>
    </row>
    <row r="110" spans="1:16">
      <c r="A110" s="43" t="s">
        <v>667</v>
      </c>
      <c r="B110" s="35"/>
      <c r="C110" s="27"/>
      <c r="D110" s="28" t="s">
        <v>25</v>
      </c>
      <c r="E110" s="36"/>
      <c r="F110" s="37"/>
      <c r="G110" s="38"/>
      <c r="H110" s="38"/>
      <c r="I110" s="29"/>
      <c r="J110" s="287"/>
      <c r="K110" s="29"/>
      <c r="L110" s="29"/>
      <c r="M110" s="281"/>
    </row>
    <row r="111" spans="1:16">
      <c r="A111" s="45" t="s">
        <v>668</v>
      </c>
      <c r="B111" s="30">
        <v>9537</v>
      </c>
      <c r="C111" s="78" t="s">
        <v>29</v>
      </c>
      <c r="D111" s="31" t="s">
        <v>23</v>
      </c>
      <c r="E111" s="32" t="s">
        <v>19</v>
      </c>
      <c r="F111" s="33">
        <v>35.49</v>
      </c>
      <c r="G111" s="34">
        <v>1.98</v>
      </c>
      <c r="H111" s="34">
        <f>G111*(1+$I$5)</f>
        <v>2.4329713810305806</v>
      </c>
      <c r="I111" s="34">
        <f>F111*G111</f>
        <v>70.270200000000003</v>
      </c>
      <c r="J111" s="284">
        <f>F111*H111</f>
        <v>86.346154312775312</v>
      </c>
      <c r="K111" s="34">
        <v>35.49</v>
      </c>
      <c r="L111" s="34">
        <v>86.346154312775312</v>
      </c>
      <c r="M111" s="20"/>
    </row>
    <row r="112" spans="1:16">
      <c r="A112" s="45" t="s">
        <v>669</v>
      </c>
      <c r="B112" s="253">
        <v>98504</v>
      </c>
      <c r="C112" s="78" t="s">
        <v>29</v>
      </c>
      <c r="D112" s="254" t="s">
        <v>556</v>
      </c>
      <c r="E112" s="32" t="s">
        <v>19</v>
      </c>
      <c r="F112" s="255">
        <f>'Calc Quant reforma'!AN37</f>
        <v>14.46</v>
      </c>
      <c r="G112" s="256">
        <v>8.3800000000000008</v>
      </c>
      <c r="H112" s="34">
        <f>G112*(1+$I$5)</f>
        <v>10.297121299513268</v>
      </c>
      <c r="I112" s="34">
        <f>F112*G112</f>
        <v>121.17480000000002</v>
      </c>
      <c r="J112" s="284">
        <f>F112*H112</f>
        <v>148.89637399096188</v>
      </c>
      <c r="K112" s="34">
        <v>14.46</v>
      </c>
      <c r="L112" s="34">
        <v>146.58652570709251</v>
      </c>
      <c r="M112" s="20"/>
    </row>
    <row r="113" spans="1:13" ht="13.5" thickBot="1">
      <c r="A113" s="316" t="s">
        <v>670</v>
      </c>
      <c r="B113" s="317"/>
      <c r="C113" s="317"/>
      <c r="D113" s="317"/>
      <c r="E113" s="317"/>
      <c r="F113" s="317"/>
      <c r="G113" s="317"/>
      <c r="H113" s="317"/>
      <c r="I113" s="49">
        <f>SUM(I111:I112)</f>
        <v>191.44500000000002</v>
      </c>
      <c r="J113" s="288">
        <f>SUM(J111:J112)</f>
        <v>235.24252830373717</v>
      </c>
      <c r="K113" s="293"/>
      <c r="L113" s="293"/>
      <c r="M113" s="282"/>
    </row>
    <row r="114" spans="1:13" ht="6.75" customHeight="1" thickBot="1">
      <c r="A114" s="15"/>
      <c r="B114" s="13"/>
      <c r="C114" s="16"/>
      <c r="D114" s="17"/>
      <c r="E114" s="18"/>
      <c r="F114" s="19"/>
      <c r="G114" s="20"/>
      <c r="H114" s="20"/>
      <c r="I114" s="20"/>
      <c r="J114" s="20"/>
      <c r="K114" s="34"/>
      <c r="L114" s="34"/>
      <c r="M114" s="20"/>
    </row>
    <row r="115" spans="1:13" ht="16.5" thickBot="1">
      <c r="A115" s="312" t="s">
        <v>54</v>
      </c>
      <c r="B115" s="313"/>
      <c r="C115" s="313"/>
      <c r="D115" s="313"/>
      <c r="E115" s="313"/>
      <c r="F115" s="313"/>
      <c r="G115" s="313"/>
      <c r="H115" s="314"/>
      <c r="I115" s="39">
        <f>I113+I109+I101+I94+I87+I75+I72+I65+I59+I52+I46+I40+I35+I31</f>
        <v>46547.735848624441</v>
      </c>
      <c r="J115" s="286">
        <f>J113+J109+J101+J94+J87+J75+J72+J65+J59+J52+J46+J40+J35+J31</f>
        <v>57196.620793673974</v>
      </c>
      <c r="K115" s="294"/>
      <c r="L115" s="294"/>
      <c r="M115" s="264"/>
    </row>
    <row r="116" spans="1:13" ht="7.5" customHeight="1" thickBot="1">
      <c r="A116" s="263"/>
      <c r="B116" s="263"/>
      <c r="C116" s="263"/>
      <c r="D116" s="263"/>
      <c r="E116" s="263"/>
      <c r="F116" s="263"/>
      <c r="G116" s="263"/>
      <c r="H116" s="263"/>
      <c r="I116" s="264"/>
      <c r="J116" s="264"/>
      <c r="K116" s="294"/>
      <c r="L116" s="294"/>
      <c r="M116" s="264"/>
    </row>
    <row r="117" spans="1:13" ht="21" thickBot="1">
      <c r="A117" s="310" t="s">
        <v>671</v>
      </c>
      <c r="B117" s="311"/>
      <c r="C117" s="311"/>
      <c r="D117" s="311"/>
      <c r="E117" s="311"/>
      <c r="F117" s="311"/>
      <c r="G117" s="311"/>
      <c r="H117" s="311"/>
      <c r="I117" s="311"/>
      <c r="J117" s="311"/>
      <c r="K117" s="295"/>
      <c r="L117" s="295"/>
      <c r="M117" s="280"/>
    </row>
    <row r="118" spans="1:13" ht="26.25" thickBot="1">
      <c r="A118" s="10" t="s">
        <v>10</v>
      </c>
      <c r="B118" s="40" t="s">
        <v>24</v>
      </c>
      <c r="C118" s="40" t="s">
        <v>28</v>
      </c>
      <c r="D118" s="40" t="s">
        <v>11</v>
      </c>
      <c r="E118" s="40" t="s">
        <v>12</v>
      </c>
      <c r="F118" s="41" t="s">
        <v>13</v>
      </c>
      <c r="G118" s="42" t="s">
        <v>31</v>
      </c>
      <c r="H118" s="42" t="s">
        <v>32</v>
      </c>
      <c r="I118" s="42" t="s">
        <v>33</v>
      </c>
      <c r="J118" s="289" t="s">
        <v>27</v>
      </c>
      <c r="K118" s="292"/>
      <c r="L118" s="292"/>
      <c r="M118" s="25"/>
    </row>
    <row r="119" spans="1:13" ht="6" customHeight="1">
      <c r="A119" s="21"/>
      <c r="B119" s="22"/>
      <c r="C119" s="22"/>
      <c r="D119" s="22"/>
      <c r="E119" s="23"/>
      <c r="F119" s="24"/>
      <c r="G119" s="25"/>
      <c r="H119" s="25"/>
      <c r="I119" s="25"/>
      <c r="J119" s="25"/>
      <c r="K119" s="292"/>
      <c r="L119" s="292"/>
      <c r="M119" s="25"/>
    </row>
    <row r="120" spans="1:13">
      <c r="A120" s="43" t="s">
        <v>35</v>
      </c>
      <c r="B120" s="35"/>
      <c r="C120" s="27"/>
      <c r="D120" s="28" t="s">
        <v>4</v>
      </c>
      <c r="E120" s="36" t="s">
        <v>1</v>
      </c>
      <c r="F120" s="37"/>
      <c r="G120" s="38"/>
      <c r="H120" s="38"/>
      <c r="I120" s="29"/>
      <c r="J120" s="287"/>
      <c r="K120" s="29"/>
      <c r="L120" s="29"/>
      <c r="M120" s="281"/>
    </row>
    <row r="121" spans="1:13" ht="36">
      <c r="A121" s="45" t="s">
        <v>674</v>
      </c>
      <c r="B121" s="123" t="s">
        <v>673</v>
      </c>
      <c r="C121" s="78" t="s">
        <v>29</v>
      </c>
      <c r="D121" s="31" t="s">
        <v>672</v>
      </c>
      <c r="E121" s="32" t="s">
        <v>19</v>
      </c>
      <c r="F121" s="33">
        <f>25*30</f>
        <v>750</v>
      </c>
      <c r="G121" s="34">
        <v>3.87</v>
      </c>
      <c r="H121" s="34">
        <f>G121*(1+$I$5)</f>
        <v>4.7553531538324991</v>
      </c>
      <c r="I121" s="34">
        <f>F121*G121</f>
        <v>2902.5</v>
      </c>
      <c r="J121" s="284">
        <f>F121*H121</f>
        <v>3566.5148653743745</v>
      </c>
      <c r="K121" s="34">
        <v>750</v>
      </c>
      <c r="L121" s="34">
        <v>3566.5148653743745</v>
      </c>
      <c r="M121" s="20"/>
    </row>
    <row r="122" spans="1:13" ht="24">
      <c r="A122" s="45" t="s">
        <v>675</v>
      </c>
      <c r="B122" s="123">
        <v>93358</v>
      </c>
      <c r="C122" s="78" t="s">
        <v>29</v>
      </c>
      <c r="D122" s="31" t="s">
        <v>239</v>
      </c>
      <c r="E122" s="32" t="s">
        <v>18</v>
      </c>
      <c r="F122" s="33">
        <f>'Calc Quant AMPLIAÇÃO'!M37</f>
        <v>41.25</v>
      </c>
      <c r="G122" s="34">
        <v>55.5</v>
      </c>
      <c r="H122" s="34">
        <f>G122*(1+$I$5)</f>
        <v>68.196925074342033</v>
      </c>
      <c r="I122" s="34">
        <f>F122*G122</f>
        <v>2289.375</v>
      </c>
      <c r="J122" s="284">
        <f>F122*H122</f>
        <v>2813.123159316609</v>
      </c>
      <c r="K122" s="34">
        <v>41.25</v>
      </c>
      <c r="L122" s="34">
        <v>2668.6654835679187</v>
      </c>
      <c r="M122" s="20"/>
    </row>
    <row r="123" spans="1:13">
      <c r="A123" s="45" t="s">
        <v>676</v>
      </c>
      <c r="B123" s="123">
        <v>96995</v>
      </c>
      <c r="C123" s="78" t="s">
        <v>29</v>
      </c>
      <c r="D123" s="31" t="s">
        <v>379</v>
      </c>
      <c r="E123" s="32" t="s">
        <v>18</v>
      </c>
      <c r="F123" s="33">
        <f>'Calc Quant AMPLIAÇÃO'!S37</f>
        <v>45.305999999999997</v>
      </c>
      <c r="G123" s="34">
        <v>33.65</v>
      </c>
      <c r="H123" s="34">
        <f>G123*(1+$I$5)</f>
        <v>41.348225743272245</v>
      </c>
      <c r="I123" s="34">
        <f>F123*G123</f>
        <v>1524.5468999999998</v>
      </c>
      <c r="J123" s="284">
        <f>F123*H123</f>
        <v>1873.3227155246923</v>
      </c>
      <c r="K123" s="34">
        <v>45.305999999999997</v>
      </c>
      <c r="L123" s="34">
        <v>1113.4161756461767</v>
      </c>
      <c r="M123" s="20"/>
    </row>
    <row r="124" spans="1:13">
      <c r="A124" s="323" t="s">
        <v>677</v>
      </c>
      <c r="B124" s="324"/>
      <c r="C124" s="324"/>
      <c r="D124" s="324"/>
      <c r="E124" s="324"/>
      <c r="F124" s="324"/>
      <c r="G124" s="324"/>
      <c r="H124" s="324"/>
      <c r="I124" s="48">
        <f>SUM(I121:I123)</f>
        <v>6716.4218999999994</v>
      </c>
      <c r="J124" s="285">
        <f>SUM(J121:J123)</f>
        <v>8252.9607402156762</v>
      </c>
      <c r="K124" s="293"/>
      <c r="L124" s="293"/>
      <c r="M124" s="282"/>
    </row>
    <row r="125" spans="1:13">
      <c r="A125" s="43" t="s">
        <v>36</v>
      </c>
      <c r="B125" s="35"/>
      <c r="C125" s="27"/>
      <c r="D125" s="28" t="s">
        <v>17</v>
      </c>
      <c r="E125" s="36"/>
      <c r="F125" s="37"/>
      <c r="G125" s="38"/>
      <c r="H125" s="38"/>
      <c r="I125" s="29"/>
      <c r="J125" s="287"/>
      <c r="K125" s="29"/>
      <c r="L125" s="29"/>
      <c r="M125" s="281"/>
    </row>
    <row r="126" spans="1:13" ht="24">
      <c r="A126" s="45" t="s">
        <v>678</v>
      </c>
      <c r="B126" s="30">
        <v>95467</v>
      </c>
      <c r="C126" s="78" t="s">
        <v>29</v>
      </c>
      <c r="D126" s="31" t="s">
        <v>172</v>
      </c>
      <c r="E126" s="32" t="s">
        <v>18</v>
      </c>
      <c r="F126" s="33">
        <f>'Calc Quant AMPLIAÇÃO'!O37</f>
        <v>24.077999999999996</v>
      </c>
      <c r="G126" s="34">
        <v>358.9</v>
      </c>
      <c r="H126" s="34">
        <f>G126*(1+$I$5)</f>
        <v>441.0067821474118</v>
      </c>
      <c r="I126" s="34">
        <f>F126*G126</f>
        <v>8641.5941999999977</v>
      </c>
      <c r="J126" s="284">
        <f>F126*H126</f>
        <v>10618.56130054538</v>
      </c>
      <c r="K126" s="34">
        <v>24.077999999999996</v>
      </c>
      <c r="L126" s="34">
        <v>10144.291204006671</v>
      </c>
      <c r="M126" s="20"/>
    </row>
    <row r="127" spans="1:13" ht="36">
      <c r="A127" s="45" t="s">
        <v>679</v>
      </c>
      <c r="B127" s="30">
        <v>87503</v>
      </c>
      <c r="C127" s="78" t="s">
        <v>29</v>
      </c>
      <c r="D127" s="31" t="s">
        <v>326</v>
      </c>
      <c r="E127" s="32" t="s">
        <v>18</v>
      </c>
      <c r="F127" s="33">
        <f>'Calc Quant AMPLIAÇÃO'!Q37</f>
        <v>8.0260000000000034</v>
      </c>
      <c r="G127" s="34">
        <v>51.15</v>
      </c>
      <c r="H127" s="34">
        <f>G127*(1+$I$5)</f>
        <v>62.851760676623336</v>
      </c>
      <c r="I127" s="34">
        <f>F127*G127</f>
        <v>410.52990000000017</v>
      </c>
      <c r="J127" s="284">
        <f>F127*H127</f>
        <v>504.44823119057912</v>
      </c>
      <c r="K127" s="34">
        <v>8.0260000000000034</v>
      </c>
      <c r="L127" s="34">
        <v>478.41219345171049</v>
      </c>
      <c r="M127" s="20"/>
    </row>
    <row r="128" spans="1:13" ht="36">
      <c r="A128" s="45" t="s">
        <v>680</v>
      </c>
      <c r="B128" s="30">
        <v>83534</v>
      </c>
      <c r="C128" s="78" t="s">
        <v>29</v>
      </c>
      <c r="D128" s="31" t="s">
        <v>566</v>
      </c>
      <c r="E128" s="32" t="s">
        <v>18</v>
      </c>
      <c r="F128" s="33">
        <f>'Calc Quant AMPLIAÇÃO'!U37</f>
        <v>24.435000000000002</v>
      </c>
      <c r="G128" s="34">
        <v>484.66</v>
      </c>
      <c r="H128" s="34">
        <f>G128*(1+$I$5)</f>
        <v>595.53732804559661</v>
      </c>
      <c r="I128" s="34">
        <f>F128*G128</f>
        <v>11842.667100000002</v>
      </c>
      <c r="J128" s="284">
        <f>F128*H128</f>
        <v>14551.954610794155</v>
      </c>
      <c r="K128" s="34">
        <v>24.435000000000002</v>
      </c>
      <c r="L128" s="34">
        <v>14236.090783563612</v>
      </c>
      <c r="M128" s="20"/>
    </row>
    <row r="129" spans="1:13">
      <c r="A129" s="323" t="s">
        <v>681</v>
      </c>
      <c r="B129" s="324"/>
      <c r="C129" s="324"/>
      <c r="D129" s="324"/>
      <c r="E129" s="324"/>
      <c r="F129" s="324"/>
      <c r="G129" s="324"/>
      <c r="H129" s="324"/>
      <c r="I129" s="48">
        <f>SUM(I126:I128)</f>
        <v>20894.7912</v>
      </c>
      <c r="J129" s="285">
        <f>SUM(J126:J128)</f>
        <v>25674.964142530116</v>
      </c>
      <c r="K129" s="293"/>
      <c r="L129" s="293"/>
      <c r="M129" s="282"/>
    </row>
    <row r="130" spans="1:13">
      <c r="A130" s="43" t="s">
        <v>113</v>
      </c>
      <c r="B130" s="35"/>
      <c r="C130" s="27"/>
      <c r="D130" s="28" t="s">
        <v>57</v>
      </c>
      <c r="E130" s="36" t="s">
        <v>2</v>
      </c>
      <c r="F130" s="37"/>
      <c r="G130" s="38"/>
      <c r="H130" s="38"/>
      <c r="I130" s="29"/>
      <c r="J130" s="287"/>
      <c r="K130" s="29"/>
      <c r="L130" s="29"/>
      <c r="M130" s="281"/>
    </row>
    <row r="131" spans="1:13" ht="24">
      <c r="A131" s="45" t="s">
        <v>682</v>
      </c>
      <c r="B131" s="30">
        <v>93184</v>
      </c>
      <c r="C131" s="78" t="s">
        <v>29</v>
      </c>
      <c r="D131" s="31" t="s">
        <v>175</v>
      </c>
      <c r="E131" s="32" t="s">
        <v>16</v>
      </c>
      <c r="F131" s="33">
        <f>'Calc Quant AMPLIAÇÃO'!V37</f>
        <v>16.699999999999996</v>
      </c>
      <c r="G131" s="34">
        <v>19.809999999999999</v>
      </c>
      <c r="H131" s="34">
        <f>G131*(1+$I$5)</f>
        <v>24.342001544553437</v>
      </c>
      <c r="I131" s="34">
        <f>F131*G131</f>
        <v>330.82699999999988</v>
      </c>
      <c r="J131" s="284">
        <f>F131*H131</f>
        <v>406.51142579404228</v>
      </c>
      <c r="K131" s="34">
        <v>16.699999999999996</v>
      </c>
      <c r="L131" s="34">
        <v>371.62654826502302</v>
      </c>
      <c r="M131" s="20"/>
    </row>
    <row r="132" spans="1:13" ht="24">
      <c r="A132" s="45" t="s">
        <v>683</v>
      </c>
      <c r="B132" s="30">
        <v>93182</v>
      </c>
      <c r="C132" s="78" t="s">
        <v>29</v>
      </c>
      <c r="D132" s="31" t="s">
        <v>173</v>
      </c>
      <c r="E132" s="32" t="s">
        <v>16</v>
      </c>
      <c r="F132" s="33">
        <f>'Calc Quant AMPLIAÇÃO'!W37</f>
        <v>21.2</v>
      </c>
      <c r="G132" s="34">
        <v>26.09</v>
      </c>
      <c r="H132" s="34">
        <f>G132*(1+$I$5)</f>
        <v>32.058698652064571</v>
      </c>
      <c r="I132" s="34">
        <f>F132*G132</f>
        <v>553.10799999999995</v>
      </c>
      <c r="J132" s="284">
        <f>F132*H132</f>
        <v>679.64441142376893</v>
      </c>
      <c r="K132" s="34">
        <v>21.2</v>
      </c>
      <c r="L132" s="34">
        <v>619.46891926627927</v>
      </c>
      <c r="M132" s="20"/>
    </row>
    <row r="133" spans="1:13" ht="36">
      <c r="A133" s="45" t="s">
        <v>684</v>
      </c>
      <c r="B133" s="30">
        <v>95957</v>
      </c>
      <c r="C133" s="78" t="s">
        <v>29</v>
      </c>
      <c r="D133" s="31" t="s">
        <v>327</v>
      </c>
      <c r="E133" s="32" t="s">
        <v>19</v>
      </c>
      <c r="F133" s="33">
        <f>0.1*0.3*3.1*31</f>
        <v>2.883</v>
      </c>
      <c r="G133" s="34">
        <v>2024.12</v>
      </c>
      <c r="H133" s="34">
        <f>G133*(1+$I$5)</f>
        <v>2487.1848645311206</v>
      </c>
      <c r="I133" s="34">
        <f>F133*G133</f>
        <v>5835.5379599999997</v>
      </c>
      <c r="J133" s="284">
        <f>F133*H133</f>
        <v>7170.553964443221</v>
      </c>
      <c r="K133" s="34">
        <v>2.883</v>
      </c>
      <c r="L133" s="34">
        <v>6814.5981602679476</v>
      </c>
      <c r="M133" s="20"/>
    </row>
    <row r="134" spans="1:13" ht="48">
      <c r="A134" s="45" t="s">
        <v>685</v>
      </c>
      <c r="B134" s="30">
        <v>95956</v>
      </c>
      <c r="C134" s="78" t="s">
        <v>29</v>
      </c>
      <c r="D134" s="31" t="s">
        <v>832</v>
      </c>
      <c r="E134" s="32" t="s">
        <v>19</v>
      </c>
      <c r="F134" s="33">
        <f>'Calc Quant AMPLIAÇÃO'!Y37</f>
        <v>6.019499999999999</v>
      </c>
      <c r="G134" s="34">
        <v>1574.42</v>
      </c>
      <c r="H134" s="34">
        <f>G134*(1+$I$5)</f>
        <v>1934.6054554152361</v>
      </c>
      <c r="I134" s="34">
        <f>F134*G134</f>
        <v>9477.2211899999984</v>
      </c>
      <c r="J134" s="284">
        <f>F134*H134</f>
        <v>11645.357538872011</v>
      </c>
      <c r="K134" s="34">
        <v>6.019499999999999</v>
      </c>
      <c r="L134" s="34">
        <v>14228.398760226466</v>
      </c>
      <c r="M134" s="20"/>
    </row>
    <row r="135" spans="1:13" ht="48">
      <c r="A135" s="45" t="s">
        <v>686</v>
      </c>
      <c r="B135" s="30" t="s">
        <v>374</v>
      </c>
      <c r="C135" s="78" t="s">
        <v>29</v>
      </c>
      <c r="D135" s="31" t="s">
        <v>373</v>
      </c>
      <c r="E135" s="32" t="s">
        <v>19</v>
      </c>
      <c r="F135" s="33">
        <f>'Calc Quant AMPLIAÇÃO'!Z37</f>
        <v>29.25</v>
      </c>
      <c r="G135" s="34">
        <v>79.959999999999994</v>
      </c>
      <c r="H135" s="34">
        <f>G135*(1+$I$5)</f>
        <v>98.252723044043051</v>
      </c>
      <c r="I135" s="34">
        <f>F135*G135</f>
        <v>2338.83</v>
      </c>
      <c r="J135" s="284">
        <f>F135*H135</f>
        <v>2873.892149038259</v>
      </c>
      <c r="K135" s="34">
        <v>29.25</v>
      </c>
      <c r="L135" s="34">
        <v>2827.5274557883927</v>
      </c>
      <c r="M135" s="20"/>
    </row>
    <row r="136" spans="1:13">
      <c r="A136" s="323" t="s">
        <v>687</v>
      </c>
      <c r="B136" s="324"/>
      <c r="C136" s="324"/>
      <c r="D136" s="324"/>
      <c r="E136" s="324"/>
      <c r="F136" s="324"/>
      <c r="G136" s="324"/>
      <c r="H136" s="324"/>
      <c r="I136" s="48">
        <f>SUM(I131:I135)</f>
        <v>18535.524149999997</v>
      </c>
      <c r="J136" s="285">
        <f>SUM(J131:J135)</f>
        <v>22775.959489571305</v>
      </c>
      <c r="K136" s="293"/>
      <c r="L136" s="293"/>
      <c r="M136" s="282"/>
    </row>
    <row r="137" spans="1:13">
      <c r="A137" s="43" t="s">
        <v>114</v>
      </c>
      <c r="B137" s="35"/>
      <c r="C137" s="27"/>
      <c r="D137" s="28" t="s">
        <v>64</v>
      </c>
      <c r="E137" s="36"/>
      <c r="F137" s="37"/>
      <c r="G137" s="38"/>
      <c r="H137" s="38"/>
      <c r="I137" s="29"/>
      <c r="J137" s="287"/>
      <c r="K137" s="29"/>
      <c r="L137" s="29"/>
      <c r="M137" s="281"/>
    </row>
    <row r="138" spans="1:13" ht="36">
      <c r="A138" s="45" t="s">
        <v>688</v>
      </c>
      <c r="B138" s="30">
        <v>87505</v>
      </c>
      <c r="C138" s="78" t="s">
        <v>29</v>
      </c>
      <c r="D138" s="31" t="s">
        <v>242</v>
      </c>
      <c r="E138" s="32" t="s">
        <v>19</v>
      </c>
      <c r="F138" s="33">
        <f>('Calc Quant AMPLIAÇÃO'!AB37)+(47.27*0.85)</f>
        <v>560.85950000000003</v>
      </c>
      <c r="G138" s="34">
        <v>48.96</v>
      </c>
      <c r="H138" s="34">
        <f t="shared" ref="H138:H145" si="11">G138*(1+$I$5)</f>
        <v>60.160746876392544</v>
      </c>
      <c r="I138" s="34">
        <f t="shared" ref="I138:I145" si="12">F138*G138</f>
        <v>27459.681120000001</v>
      </c>
      <c r="J138" s="284">
        <f t="shared" ref="J138:J145" si="13">F138*H138</f>
        <v>33741.726412720083</v>
      </c>
      <c r="K138" s="34">
        <v>659.12950000000001</v>
      </c>
      <c r="L138" s="34">
        <v>43508.946078510984</v>
      </c>
      <c r="M138" s="20"/>
    </row>
    <row r="139" spans="1:13" ht="36">
      <c r="A139" s="45" t="s">
        <v>689</v>
      </c>
      <c r="B139" s="30" t="s">
        <v>561</v>
      </c>
      <c r="C139" s="78" t="s">
        <v>29</v>
      </c>
      <c r="D139" s="31" t="s">
        <v>560</v>
      </c>
      <c r="E139" s="32" t="s">
        <v>19</v>
      </c>
      <c r="F139" s="33">
        <f>(0.85+5.6+1.5)*2.4</f>
        <v>19.079999999999998</v>
      </c>
      <c r="G139" s="34">
        <v>87.44</v>
      </c>
      <c r="H139" s="34">
        <f t="shared" si="11"/>
        <v>107.44394826126968</v>
      </c>
      <c r="I139" s="34">
        <f t="shared" si="12"/>
        <v>1668.3551999999997</v>
      </c>
      <c r="J139" s="284">
        <f t="shared" si="13"/>
        <v>2050.0305328250251</v>
      </c>
      <c r="K139" s="34">
        <v>19.079999999999998</v>
      </c>
      <c r="L139" s="34">
        <v>1991.8869404027237</v>
      </c>
      <c r="M139" s="20"/>
    </row>
    <row r="140" spans="1:13" ht="72">
      <c r="A140" s="45" t="s">
        <v>690</v>
      </c>
      <c r="B140" s="321" t="s">
        <v>799</v>
      </c>
      <c r="C140" s="322"/>
      <c r="D140" s="31" t="s">
        <v>567</v>
      </c>
      <c r="E140" s="32" t="s">
        <v>62</v>
      </c>
      <c r="F140" s="33">
        <v>1</v>
      </c>
      <c r="G140" s="34">
        <f>'COMPOSIÇÕES - REFORMAS'!H218</f>
        <v>623.38126677333321</v>
      </c>
      <c r="H140" s="34">
        <f t="shared" si="11"/>
        <v>765.99433410611584</v>
      </c>
      <c r="I140" s="34">
        <f t="shared" si="12"/>
        <v>623.38126677333321</v>
      </c>
      <c r="J140" s="284">
        <f t="shared" si="13"/>
        <v>765.99433410611584</v>
      </c>
      <c r="K140" s="34">
        <v>1</v>
      </c>
      <c r="L140" s="34">
        <v>772.68321775160439</v>
      </c>
      <c r="M140" s="20"/>
    </row>
    <row r="141" spans="1:13" ht="74.25" customHeight="1">
      <c r="A141" s="45" t="s">
        <v>691</v>
      </c>
      <c r="B141" s="321" t="s">
        <v>800</v>
      </c>
      <c r="C141" s="322"/>
      <c r="D141" s="31" t="s">
        <v>568</v>
      </c>
      <c r="E141" s="32" t="s">
        <v>62</v>
      </c>
      <c r="F141" s="33">
        <v>1</v>
      </c>
      <c r="G141" s="34">
        <f>'COMPOSIÇÕES - REFORMAS'!H237</f>
        <v>1679.3769319999997</v>
      </c>
      <c r="H141" s="34">
        <f t="shared" si="11"/>
        <v>2063.5737442014843</v>
      </c>
      <c r="I141" s="34">
        <f t="shared" si="12"/>
        <v>1679.3769319999997</v>
      </c>
      <c r="J141" s="284">
        <f t="shared" si="13"/>
        <v>2063.5737442014843</v>
      </c>
      <c r="K141" s="34">
        <v>1</v>
      </c>
      <c r="L141" s="34">
        <v>1892.0608762052393</v>
      </c>
      <c r="M141" s="20"/>
    </row>
    <row r="142" spans="1:13" ht="72">
      <c r="A142" s="45" t="s">
        <v>692</v>
      </c>
      <c r="B142" s="321" t="s">
        <v>801</v>
      </c>
      <c r="C142" s="322"/>
      <c r="D142" s="31" t="s">
        <v>569</v>
      </c>
      <c r="E142" s="32" t="s">
        <v>62</v>
      </c>
      <c r="F142" s="33">
        <v>1</v>
      </c>
      <c r="G142" s="34">
        <f>'COMPOSIÇÕES - REFORMAS'!H250</f>
        <v>913.74582442666656</v>
      </c>
      <c r="H142" s="34">
        <f t="shared" si="11"/>
        <v>1122.7865860435725</v>
      </c>
      <c r="I142" s="34">
        <f t="shared" si="12"/>
        <v>913.74582442666656</v>
      </c>
      <c r="J142" s="284">
        <f t="shared" si="13"/>
        <v>1122.7865860435725</v>
      </c>
      <c r="K142" s="34">
        <v>1</v>
      </c>
      <c r="L142" s="34">
        <v>1121.694916732765</v>
      </c>
      <c r="M142" s="20"/>
    </row>
    <row r="143" spans="1:13" ht="65.25" customHeight="1">
      <c r="A143" s="45" t="s">
        <v>693</v>
      </c>
      <c r="B143" s="321" t="s">
        <v>802</v>
      </c>
      <c r="C143" s="322"/>
      <c r="D143" s="31" t="s">
        <v>570</v>
      </c>
      <c r="E143" s="32" t="s">
        <v>62</v>
      </c>
      <c r="F143" s="33">
        <v>1</v>
      </c>
      <c r="G143" s="34">
        <f>'COMPOSIÇÕES - REFORMAS'!H267</f>
        <v>829.19069706666653</v>
      </c>
      <c r="H143" s="34">
        <f t="shared" si="11"/>
        <v>1018.8874926161604</v>
      </c>
      <c r="I143" s="34">
        <f t="shared" si="12"/>
        <v>829.19069706666653</v>
      </c>
      <c r="J143" s="284">
        <f t="shared" si="13"/>
        <v>1018.8874926161604</v>
      </c>
      <c r="K143" s="34">
        <v>1</v>
      </c>
      <c r="L143" s="34">
        <v>983.76305473094123</v>
      </c>
      <c r="M143" s="20"/>
    </row>
    <row r="144" spans="1:13" ht="72">
      <c r="A144" s="45" t="s">
        <v>694</v>
      </c>
      <c r="B144" s="321" t="s">
        <v>803</v>
      </c>
      <c r="C144" s="322"/>
      <c r="D144" s="31" t="s">
        <v>571</v>
      </c>
      <c r="E144" s="32" t="s">
        <v>62</v>
      </c>
      <c r="F144" s="33">
        <v>1</v>
      </c>
      <c r="G144" s="34">
        <f>'COMPOSIÇÕES - REFORMAS'!H280</f>
        <v>460.0512030933333</v>
      </c>
      <c r="H144" s="34">
        <f t="shared" si="11"/>
        <v>565.29869239129664</v>
      </c>
      <c r="I144" s="34">
        <f t="shared" si="12"/>
        <v>460.0512030933333</v>
      </c>
      <c r="J144" s="284">
        <f t="shared" si="13"/>
        <v>565.29869239129664</v>
      </c>
      <c r="K144" s="34">
        <v>1</v>
      </c>
      <c r="L144" s="34">
        <v>576.36413707470149</v>
      </c>
      <c r="M144" s="20"/>
    </row>
    <row r="145" spans="1:13">
      <c r="A145" s="45" t="s">
        <v>695</v>
      </c>
      <c r="B145" s="321" t="s">
        <v>804</v>
      </c>
      <c r="C145" s="322"/>
      <c r="D145" s="31" t="s">
        <v>572</v>
      </c>
      <c r="E145" s="32" t="s">
        <v>19</v>
      </c>
      <c r="F145" s="33">
        <f>'Calc Quant AMPLIAÇÃO'!AC30+'Calc Quant AMPLIAÇÃO'!AC33</f>
        <v>3.29</v>
      </c>
      <c r="G145" s="34">
        <f>'COMPOSIÇÕES - REFORMAS'!H291</f>
        <v>382.95885111111107</v>
      </c>
      <c r="H145" s="34">
        <f t="shared" si="11"/>
        <v>470.56965902307297</v>
      </c>
      <c r="I145" s="34">
        <f t="shared" si="12"/>
        <v>1259.9346201555554</v>
      </c>
      <c r="J145" s="284">
        <f t="shared" si="13"/>
        <v>1548.17417818591</v>
      </c>
      <c r="K145" s="34">
        <v>3.29</v>
      </c>
      <c r="L145" s="34">
        <v>1514.843423985111</v>
      </c>
      <c r="M145" s="20"/>
    </row>
    <row r="146" spans="1:13">
      <c r="A146" s="323" t="s">
        <v>696</v>
      </c>
      <c r="B146" s="324"/>
      <c r="C146" s="324"/>
      <c r="D146" s="324"/>
      <c r="E146" s="324"/>
      <c r="F146" s="324"/>
      <c r="G146" s="324"/>
      <c r="H146" s="324"/>
      <c r="I146" s="48">
        <f>SUM(I138:I145)</f>
        <v>34893.716863515547</v>
      </c>
      <c r="J146" s="285">
        <f>SUM(J138:J145)</f>
        <v>42876.471973089647</v>
      </c>
      <c r="K146" s="293"/>
      <c r="L146" s="293"/>
      <c r="M146" s="282"/>
    </row>
    <row r="147" spans="1:13">
      <c r="A147" s="43" t="s">
        <v>115</v>
      </c>
      <c r="B147" s="35"/>
      <c r="C147" s="27"/>
      <c r="D147" s="28" t="s">
        <v>7</v>
      </c>
      <c r="E147" s="36"/>
      <c r="F147" s="37"/>
      <c r="G147" s="38"/>
      <c r="H147" s="38"/>
      <c r="I147" s="29"/>
      <c r="J147" s="287"/>
      <c r="K147" s="29"/>
      <c r="L147" s="29"/>
      <c r="M147" s="281"/>
    </row>
    <row r="148" spans="1:13" ht="60">
      <c r="A148" s="45" t="s">
        <v>697</v>
      </c>
      <c r="B148" s="266">
        <v>94207</v>
      </c>
      <c r="C148" s="78" t="s">
        <v>29</v>
      </c>
      <c r="D148" s="31" t="s">
        <v>399</v>
      </c>
      <c r="E148" s="32" t="s">
        <v>236</v>
      </c>
      <c r="F148" s="33">
        <f>'Calc Quant AMPLIAÇÃO'!AD37</f>
        <v>193.65999999999997</v>
      </c>
      <c r="G148" s="34">
        <v>36.520000000000003</v>
      </c>
      <c r="H148" s="34">
        <f t="shared" ref="H148:H155" si="14">G148*(1+$I$5)</f>
        <v>44.874805472341826</v>
      </c>
      <c r="I148" s="34">
        <f t="shared" ref="I148:I155" si="15">F148*G148</f>
        <v>7072.4631999999992</v>
      </c>
      <c r="J148" s="284">
        <f t="shared" ref="J148:J155" si="16">F148*H148</f>
        <v>8690.4548277737158</v>
      </c>
      <c r="K148" s="34">
        <v>193.65999999999997</v>
      </c>
      <c r="L148" s="34">
        <v>9083.0958591490344</v>
      </c>
      <c r="M148" s="20"/>
    </row>
    <row r="149" spans="1:13" ht="72">
      <c r="A149" s="45" t="s">
        <v>698</v>
      </c>
      <c r="B149" s="266">
        <v>92566</v>
      </c>
      <c r="C149" s="78" t="s">
        <v>29</v>
      </c>
      <c r="D149" s="31" t="s">
        <v>398</v>
      </c>
      <c r="E149" s="32" t="s">
        <v>236</v>
      </c>
      <c r="F149" s="33">
        <f>F148</f>
        <v>193.65999999999997</v>
      </c>
      <c r="G149" s="34">
        <v>16.46</v>
      </c>
      <c r="H149" s="34">
        <f t="shared" si="14"/>
        <v>20.22561057159766</v>
      </c>
      <c r="I149" s="34">
        <f t="shared" si="15"/>
        <v>3187.6435999999994</v>
      </c>
      <c r="J149" s="284">
        <f t="shared" si="16"/>
        <v>3916.8917432956023</v>
      </c>
      <c r="K149" s="34">
        <v>193.65999999999997</v>
      </c>
      <c r="L149" s="34">
        <v>3878.817461465268</v>
      </c>
      <c r="M149" s="20"/>
    </row>
    <row r="150" spans="1:13" ht="24">
      <c r="A150" s="45" t="s">
        <v>699</v>
      </c>
      <c r="B150" s="266">
        <v>94213</v>
      </c>
      <c r="C150" s="78" t="s">
        <v>29</v>
      </c>
      <c r="D150" s="31" t="s">
        <v>574</v>
      </c>
      <c r="E150" s="32" t="s">
        <v>236</v>
      </c>
      <c r="F150" s="33">
        <v>40.11</v>
      </c>
      <c r="G150" s="34">
        <v>39.44</v>
      </c>
      <c r="H150" s="34">
        <f t="shared" si="14"/>
        <v>48.462823872649544</v>
      </c>
      <c r="I150" s="34">
        <f t="shared" si="15"/>
        <v>1581.9383999999998</v>
      </c>
      <c r="J150" s="284">
        <f t="shared" si="16"/>
        <v>1943.8438655319733</v>
      </c>
      <c r="K150" s="34">
        <v>40.11</v>
      </c>
      <c r="L150" s="34">
        <v>1930.5366179738185</v>
      </c>
      <c r="M150" s="20"/>
    </row>
    <row r="151" spans="1:13" ht="48">
      <c r="A151" s="45" t="s">
        <v>700</v>
      </c>
      <c r="B151" s="266">
        <v>92604</v>
      </c>
      <c r="C151" s="78" t="s">
        <v>29</v>
      </c>
      <c r="D151" s="31" t="s">
        <v>835</v>
      </c>
      <c r="E151" s="32" t="s">
        <v>836</v>
      </c>
      <c r="F151" s="33">
        <v>5</v>
      </c>
      <c r="G151" s="297">
        <v>541.84</v>
      </c>
      <c r="H151" s="34">
        <f t="shared" si="14"/>
        <v>665.79859247354045</v>
      </c>
      <c r="I151" s="34">
        <f t="shared" si="15"/>
        <v>2709.2000000000003</v>
      </c>
      <c r="J151" s="284">
        <f t="shared" si="16"/>
        <v>3328.9929623677021</v>
      </c>
      <c r="K151" s="34">
        <v>40.11</v>
      </c>
      <c r="L151" s="34">
        <v>6166.4799462448873</v>
      </c>
      <c r="M151" s="20"/>
    </row>
    <row r="152" spans="1:13" ht="36">
      <c r="A152" s="45" t="s">
        <v>701</v>
      </c>
      <c r="B152" s="266">
        <v>96111</v>
      </c>
      <c r="C152" s="78" t="s">
        <v>29</v>
      </c>
      <c r="D152" s="31" t="s">
        <v>563</v>
      </c>
      <c r="E152" s="32" t="s">
        <v>236</v>
      </c>
      <c r="F152" s="33">
        <f>'Calc Quant AMPLIAÇÃO'!AG37</f>
        <v>226.53000000000003</v>
      </c>
      <c r="G152" s="34">
        <v>41.74</v>
      </c>
      <c r="H152" s="34">
        <f t="shared" si="14"/>
        <v>51.289002749604265</v>
      </c>
      <c r="I152" s="34">
        <f t="shared" si="15"/>
        <v>9455.3622000000014</v>
      </c>
      <c r="J152" s="284">
        <f t="shared" si="16"/>
        <v>11618.497792867856</v>
      </c>
      <c r="K152" s="34">
        <v>226.53000000000003</v>
      </c>
      <c r="L152" s="34">
        <v>11423.649962129773</v>
      </c>
      <c r="M152" s="20"/>
    </row>
    <row r="153" spans="1:13" ht="24">
      <c r="A153" s="45" t="s">
        <v>702</v>
      </c>
      <c r="B153" s="299" t="s">
        <v>830</v>
      </c>
      <c r="C153" s="78" t="s">
        <v>30</v>
      </c>
      <c r="D153" s="31" t="s">
        <v>829</v>
      </c>
      <c r="E153" s="32" t="s">
        <v>236</v>
      </c>
      <c r="F153" s="296">
        <v>36.24</v>
      </c>
      <c r="G153" s="34">
        <v>23.54</v>
      </c>
      <c r="H153" s="34">
        <f t="shared" si="14"/>
        <v>28.925326418919127</v>
      </c>
      <c r="I153" s="34">
        <f t="shared" si="15"/>
        <v>853.08960000000002</v>
      </c>
      <c r="J153" s="284">
        <f t="shared" si="16"/>
        <v>1048.2538294216292</v>
      </c>
      <c r="K153" s="34">
        <v>36.24</v>
      </c>
      <c r="L153" s="34">
        <v>4838.7111769309358</v>
      </c>
      <c r="M153" s="20"/>
    </row>
    <row r="154" spans="1:13" ht="24">
      <c r="A154" s="45" t="s">
        <v>703</v>
      </c>
      <c r="B154" s="266">
        <v>94231</v>
      </c>
      <c r="C154" s="78" t="s">
        <v>29</v>
      </c>
      <c r="D154" s="31" t="s">
        <v>400</v>
      </c>
      <c r="E154" s="32" t="s">
        <v>16</v>
      </c>
      <c r="F154" s="33">
        <f>'Calc Quant AMPLIAÇÃO'!AE37</f>
        <v>77.27</v>
      </c>
      <c r="G154" s="34">
        <v>28.96</v>
      </c>
      <c r="H154" s="34">
        <f t="shared" si="14"/>
        <v>35.585278381134152</v>
      </c>
      <c r="I154" s="34">
        <f t="shared" si="15"/>
        <v>2237.7392</v>
      </c>
      <c r="J154" s="284">
        <f t="shared" si="16"/>
        <v>2749.6744605102358</v>
      </c>
      <c r="K154" s="34">
        <v>77.27</v>
      </c>
      <c r="L154" s="34">
        <v>2757.2702463127498</v>
      </c>
      <c r="M154" s="20"/>
    </row>
    <row r="155" spans="1:13" ht="36">
      <c r="A155" s="45" t="s">
        <v>704</v>
      </c>
      <c r="B155" s="266">
        <v>94227</v>
      </c>
      <c r="C155" s="78" t="s">
        <v>29</v>
      </c>
      <c r="D155" s="31" t="s">
        <v>401</v>
      </c>
      <c r="E155" s="32" t="s">
        <v>16</v>
      </c>
      <c r="F155" s="33">
        <f>'Calc Quant AMPLIAÇÃO'!AF37</f>
        <v>60.269999999999996</v>
      </c>
      <c r="G155" s="34">
        <v>40.24</v>
      </c>
      <c r="H155" s="34">
        <f t="shared" si="14"/>
        <v>49.445842612459884</v>
      </c>
      <c r="I155" s="34">
        <f t="shared" si="15"/>
        <v>2425.2647999999999</v>
      </c>
      <c r="J155" s="284">
        <f t="shared" si="16"/>
        <v>2980.1009342529569</v>
      </c>
      <c r="K155" s="34">
        <v>60.269999999999996</v>
      </c>
      <c r="L155" s="34">
        <v>2986.7661699408986</v>
      </c>
      <c r="M155" s="20"/>
    </row>
    <row r="156" spans="1:13">
      <c r="A156" s="323" t="s">
        <v>705</v>
      </c>
      <c r="B156" s="324"/>
      <c r="C156" s="324"/>
      <c r="D156" s="324"/>
      <c r="E156" s="324"/>
      <c r="F156" s="324"/>
      <c r="G156" s="324"/>
      <c r="H156" s="324"/>
      <c r="I156" s="48">
        <f>SUM(I148:I155)</f>
        <v>29522.701000000001</v>
      </c>
      <c r="J156" s="285">
        <f>SUM(J148:J155)</f>
        <v>36276.71041602167</v>
      </c>
      <c r="K156" s="293"/>
      <c r="L156" s="293"/>
      <c r="M156" s="282"/>
    </row>
    <row r="157" spans="1:13">
      <c r="A157" s="43" t="s">
        <v>116</v>
      </c>
      <c r="B157" s="35"/>
      <c r="C157" s="27"/>
      <c r="D157" s="28" t="s">
        <v>8</v>
      </c>
      <c r="E157" s="36"/>
      <c r="F157" s="37"/>
      <c r="G157" s="38"/>
      <c r="H157" s="38"/>
      <c r="I157" s="29"/>
      <c r="J157" s="287"/>
      <c r="K157" s="29"/>
      <c r="L157" s="29"/>
      <c r="M157" s="281"/>
    </row>
    <row r="158" spans="1:13" ht="36">
      <c r="A158" s="45" t="s">
        <v>706</v>
      </c>
      <c r="B158" s="321" t="s">
        <v>841</v>
      </c>
      <c r="C158" s="322"/>
      <c r="D158" s="31" t="s">
        <v>575</v>
      </c>
      <c r="E158" s="32" t="s">
        <v>19</v>
      </c>
      <c r="F158" s="33">
        <f>(1.1*2.4)+(0.7*2.4)*(2.7*2.4)</f>
        <v>13.526400000000001</v>
      </c>
      <c r="G158" s="34">
        <f>'COMPOSIÇÕES - REFORMAS'!H323</f>
        <v>409.89236699999998</v>
      </c>
      <c r="H158" s="34">
        <f>G158*(1+$I$5)</f>
        <v>503.66484758276948</v>
      </c>
      <c r="I158" s="34">
        <f t="shared" ref="I158:I166" si="17">F158*G158</f>
        <v>5544.3681129888</v>
      </c>
      <c r="J158" s="284">
        <f t="shared" ref="J158:J166" si="18">F158*H158</f>
        <v>6812.7721943435736</v>
      </c>
      <c r="K158" s="34">
        <v>13.526400000000001</v>
      </c>
      <c r="L158" s="34">
        <v>6335.5473634372011</v>
      </c>
      <c r="M158" s="20"/>
    </row>
    <row r="159" spans="1:13" ht="72">
      <c r="A159" s="45" t="s">
        <v>707</v>
      </c>
      <c r="B159" s="123">
        <v>90849</v>
      </c>
      <c r="C159" s="78" t="s">
        <v>29</v>
      </c>
      <c r="D159" s="31" t="s">
        <v>405</v>
      </c>
      <c r="E159" s="32" t="s">
        <v>62</v>
      </c>
      <c r="F159" s="33">
        <f>'Calc Quant AMPLIAÇÃO'!H42</f>
        <v>9</v>
      </c>
      <c r="G159" s="34">
        <v>644.07000000000005</v>
      </c>
      <c r="H159" s="34">
        <f t="shared" ref="H159:H165" si="19">G159*(1+$I$5)</f>
        <v>791.4160996870537</v>
      </c>
      <c r="I159" s="34">
        <f t="shared" si="17"/>
        <v>5796.63</v>
      </c>
      <c r="J159" s="284">
        <f t="shared" si="18"/>
        <v>7122.7448971834838</v>
      </c>
      <c r="K159" s="34">
        <v>9</v>
      </c>
      <c r="L159" s="34">
        <v>7074.1960591710995</v>
      </c>
      <c r="M159" s="20"/>
    </row>
    <row r="160" spans="1:13" ht="72">
      <c r="A160" s="45" t="s">
        <v>708</v>
      </c>
      <c r="B160" s="30">
        <v>90842</v>
      </c>
      <c r="C160" s="78" t="s">
        <v>29</v>
      </c>
      <c r="D160" s="31" t="s">
        <v>576</v>
      </c>
      <c r="E160" s="32" t="s">
        <v>62</v>
      </c>
      <c r="F160" s="33">
        <f>'Calc Quant AMPLIAÇÃO'!H43</f>
        <v>4</v>
      </c>
      <c r="G160" s="34">
        <v>707.3</v>
      </c>
      <c r="H160" s="34">
        <f>G160*(1+$I$5)</f>
        <v>869.11144333481298</v>
      </c>
      <c r="I160" s="34">
        <f t="shared" si="17"/>
        <v>2829.2</v>
      </c>
      <c r="J160" s="284">
        <f t="shared" si="18"/>
        <v>3476.4457733392519</v>
      </c>
      <c r="K160" s="34">
        <v>4</v>
      </c>
      <c r="L160" s="34">
        <v>3039.4939434935577</v>
      </c>
      <c r="M160" s="20"/>
    </row>
    <row r="161" spans="1:14" ht="72">
      <c r="A161" s="45" t="s">
        <v>709</v>
      </c>
      <c r="B161" s="30">
        <v>90844</v>
      </c>
      <c r="C161" s="78" t="s">
        <v>29</v>
      </c>
      <c r="D161" s="31" t="s">
        <v>577</v>
      </c>
      <c r="E161" s="32" t="s">
        <v>62</v>
      </c>
      <c r="F161" s="33">
        <f>'Calc Quant AMPLIAÇÃO'!H46</f>
        <v>2</v>
      </c>
      <c r="G161" s="34">
        <v>758.34</v>
      </c>
      <c r="H161" s="34">
        <f t="shared" si="19"/>
        <v>931.82803893471248</v>
      </c>
      <c r="I161" s="34">
        <f t="shared" si="17"/>
        <v>1516.68</v>
      </c>
      <c r="J161" s="284">
        <f t="shared" si="18"/>
        <v>1863.656077869425</v>
      </c>
      <c r="K161" s="34">
        <v>2</v>
      </c>
      <c r="L161" s="34">
        <v>1641.2726634558319</v>
      </c>
      <c r="M161" s="20"/>
    </row>
    <row r="162" spans="1:14" ht="24">
      <c r="A162" s="45" t="s">
        <v>710</v>
      </c>
      <c r="B162" s="30">
        <v>84844</v>
      </c>
      <c r="C162" s="78" t="s">
        <v>29</v>
      </c>
      <c r="D162" s="31" t="s">
        <v>578</v>
      </c>
      <c r="E162" s="32" t="s">
        <v>19</v>
      </c>
      <c r="F162" s="33">
        <f>'Calc Quant AMPLIAÇÃO'!H52</f>
        <v>0.79099999999999993</v>
      </c>
      <c r="G162" s="34">
        <v>360.77</v>
      </c>
      <c r="H162" s="34">
        <f t="shared" si="19"/>
        <v>443.30458845171847</v>
      </c>
      <c r="I162" s="34">
        <f t="shared" si="17"/>
        <v>285.36906999999997</v>
      </c>
      <c r="J162" s="284">
        <f t="shared" si="18"/>
        <v>350.65392946530926</v>
      </c>
      <c r="K162" s="34">
        <v>0.79099999999999993</v>
      </c>
      <c r="L162" s="34">
        <v>323.0405521442753</v>
      </c>
      <c r="M162" s="20"/>
    </row>
    <row r="163" spans="1:14" ht="24">
      <c r="A163" s="45" t="s">
        <v>711</v>
      </c>
      <c r="B163" s="123">
        <v>84846</v>
      </c>
      <c r="C163" s="78" t="s">
        <v>29</v>
      </c>
      <c r="D163" s="31" t="s">
        <v>579</v>
      </c>
      <c r="E163" s="32" t="s">
        <v>19</v>
      </c>
      <c r="F163" s="33">
        <f>'Calc Quant AMPLIAÇÃO'!H53</f>
        <v>0.90399999999999991</v>
      </c>
      <c r="G163" s="34">
        <v>550.45000000000005</v>
      </c>
      <c r="H163" s="34">
        <f t="shared" si="19"/>
        <v>676.37833166074915</v>
      </c>
      <c r="I163" s="34">
        <f t="shared" si="17"/>
        <v>497.60680000000002</v>
      </c>
      <c r="J163" s="284">
        <f t="shared" si="18"/>
        <v>611.44601182131714</v>
      </c>
      <c r="K163" s="34">
        <v>0.90399999999999991</v>
      </c>
      <c r="L163" s="34">
        <v>559.65999479686468</v>
      </c>
      <c r="M163" s="20"/>
    </row>
    <row r="164" spans="1:14" ht="24">
      <c r="A164" s="45" t="s">
        <v>712</v>
      </c>
      <c r="B164" s="30">
        <v>94581</v>
      </c>
      <c r="C164" s="78" t="s">
        <v>29</v>
      </c>
      <c r="D164" s="31" t="s">
        <v>406</v>
      </c>
      <c r="E164" s="32" t="s">
        <v>19</v>
      </c>
      <c r="F164" s="33">
        <f>'Calc Quant AMPLIAÇÃO'!H49+'Calc Quant AMPLIAÇÃO'!H51</f>
        <v>1.3380000000000001</v>
      </c>
      <c r="G164" s="34">
        <v>309.2</v>
      </c>
      <c r="H164" s="34">
        <f t="shared" si="19"/>
        <v>379.93674293669471</v>
      </c>
      <c r="I164" s="34">
        <f t="shared" si="17"/>
        <v>413.70960000000002</v>
      </c>
      <c r="J164" s="284">
        <f t="shared" si="18"/>
        <v>508.35536204929758</v>
      </c>
      <c r="K164" s="34">
        <v>1.3380000000000001</v>
      </c>
      <c r="L164" s="34">
        <v>522.26443825543299</v>
      </c>
      <c r="M164" s="20"/>
    </row>
    <row r="165" spans="1:14" ht="26.25" customHeight="1">
      <c r="A165" s="45" t="s">
        <v>713</v>
      </c>
      <c r="B165" s="30">
        <v>94582</v>
      </c>
      <c r="C165" s="78" t="s">
        <v>29</v>
      </c>
      <c r="D165" s="31" t="s">
        <v>407</v>
      </c>
      <c r="E165" s="32" t="s">
        <v>19</v>
      </c>
      <c r="F165" s="33">
        <f>'Calc Quant AMPLIAÇÃO'!H50+'Calc Quant AMPLIAÇÃO'!H54+'Calc Quant AMPLIAÇÃO'!H55</f>
        <v>12.48</v>
      </c>
      <c r="G165" s="34">
        <v>176.74</v>
      </c>
      <c r="H165" s="34">
        <f t="shared" si="19"/>
        <v>217.17341509259842</v>
      </c>
      <c r="I165" s="34">
        <f t="shared" si="17"/>
        <v>2205.7152000000001</v>
      </c>
      <c r="J165" s="284">
        <f t="shared" si="18"/>
        <v>2710.3242203556283</v>
      </c>
      <c r="K165" s="34">
        <v>12.48</v>
      </c>
      <c r="L165" s="34">
        <v>2815.3696028917607</v>
      </c>
      <c r="M165" s="20"/>
    </row>
    <row r="166" spans="1:14" ht="24">
      <c r="A166" s="45" t="s">
        <v>714</v>
      </c>
      <c r="B166" s="30" t="s">
        <v>136</v>
      </c>
      <c r="C166" s="78" t="s">
        <v>29</v>
      </c>
      <c r="D166" s="31" t="s">
        <v>424</v>
      </c>
      <c r="E166" s="32" t="s">
        <v>16</v>
      </c>
      <c r="F166" s="122">
        <f>5.94*2</f>
        <v>11.88</v>
      </c>
      <c r="G166" s="34">
        <v>75.36</v>
      </c>
      <c r="H166" s="34">
        <f>G166*(1+$I$5)</f>
        <v>92.600365290133624</v>
      </c>
      <c r="I166" s="34">
        <f t="shared" si="17"/>
        <v>895.27680000000009</v>
      </c>
      <c r="J166" s="284">
        <f t="shared" si="18"/>
        <v>1100.0923396467874</v>
      </c>
      <c r="K166" s="34">
        <v>11.88</v>
      </c>
      <c r="L166" s="34">
        <v>1062.7218992341577</v>
      </c>
      <c r="M166" s="20"/>
    </row>
    <row r="167" spans="1:14">
      <c r="A167" s="323" t="s">
        <v>715</v>
      </c>
      <c r="B167" s="324"/>
      <c r="C167" s="324"/>
      <c r="D167" s="324"/>
      <c r="E167" s="324"/>
      <c r="F167" s="324"/>
      <c r="G167" s="324"/>
      <c r="H167" s="324"/>
      <c r="I167" s="48">
        <f>SUM(I158:I166)</f>
        <v>19984.5555829888</v>
      </c>
      <c r="J167" s="285">
        <f>SUM(J158:J166)</f>
        <v>24556.490806074074</v>
      </c>
      <c r="K167" s="293"/>
      <c r="L167" s="293"/>
      <c r="M167" s="282"/>
    </row>
    <row r="168" spans="1:14">
      <c r="A168" s="43" t="s">
        <v>117</v>
      </c>
      <c r="B168" s="35"/>
      <c r="C168" s="27"/>
      <c r="D168" s="28" t="s">
        <v>6</v>
      </c>
      <c r="E168" s="36"/>
      <c r="F168" s="37"/>
      <c r="G168" s="38"/>
      <c r="H168" s="38"/>
      <c r="I168" s="29"/>
      <c r="J168" s="287"/>
      <c r="K168" s="29"/>
      <c r="L168" s="29"/>
      <c r="M168" s="281"/>
    </row>
    <row r="169" spans="1:14">
      <c r="A169" s="45" t="s">
        <v>716</v>
      </c>
      <c r="B169" s="30">
        <v>87879</v>
      </c>
      <c r="C169" s="78" t="s">
        <v>29</v>
      </c>
      <c r="D169" s="31" t="s">
        <v>20</v>
      </c>
      <c r="E169" s="32" t="s">
        <v>19</v>
      </c>
      <c r="F169" s="33">
        <f>(F138*2)+(0.15*3*8)</f>
        <v>1125.319</v>
      </c>
      <c r="G169" s="34">
        <v>2.69</v>
      </c>
      <c r="H169" s="34">
        <f>G169*(1+$I$5)</f>
        <v>3.3054005126122536</v>
      </c>
      <c r="I169" s="34">
        <f>F169*G169</f>
        <v>3027.1081099999997</v>
      </c>
      <c r="J169" s="284">
        <f>F169*H169</f>
        <v>3719.6299994523083</v>
      </c>
      <c r="K169" s="34">
        <v>1321.8589999999999</v>
      </c>
      <c r="L169" s="34">
        <v>4304.3028077817735</v>
      </c>
      <c r="M169" s="20"/>
    </row>
    <row r="170" spans="1:14" ht="72">
      <c r="A170" s="45" t="s">
        <v>717</v>
      </c>
      <c r="B170" s="30">
        <v>87536</v>
      </c>
      <c r="C170" s="78" t="s">
        <v>29</v>
      </c>
      <c r="D170" s="31" t="s">
        <v>156</v>
      </c>
      <c r="E170" s="32" t="s">
        <v>19</v>
      </c>
      <c r="F170" s="33">
        <f>'Calc Quant AMPLIAÇÃO'!AI37</f>
        <v>140.79</v>
      </c>
      <c r="G170" s="34">
        <v>27.28</v>
      </c>
      <c r="H170" s="34">
        <f>G170*(1+$I$5)</f>
        <v>33.520939027532449</v>
      </c>
      <c r="I170" s="34">
        <f>F170*G170</f>
        <v>3840.7512000000002</v>
      </c>
      <c r="J170" s="284">
        <f>F170*H170</f>
        <v>4719.4130056862932</v>
      </c>
      <c r="K170" s="34">
        <v>140.79</v>
      </c>
      <c r="L170" s="34">
        <v>4567.1738764706051</v>
      </c>
      <c r="M170" s="20"/>
    </row>
    <row r="171" spans="1:14" ht="60">
      <c r="A171" s="45" t="s">
        <v>718</v>
      </c>
      <c r="B171" s="30">
        <v>87530</v>
      </c>
      <c r="C171" s="78" t="s">
        <v>29</v>
      </c>
      <c r="D171" s="31" t="s">
        <v>157</v>
      </c>
      <c r="E171" s="32" t="s">
        <v>19</v>
      </c>
      <c r="F171" s="33">
        <f>F169-(F170+F172)</f>
        <v>568.37049999999999</v>
      </c>
      <c r="G171" s="34">
        <v>30.67</v>
      </c>
      <c r="H171" s="34">
        <f>G171*(1+$I$5)</f>
        <v>37.686480937478748</v>
      </c>
      <c r="I171" s="34">
        <f>F171*G171</f>
        <v>17431.923235000002</v>
      </c>
      <c r="J171" s="284">
        <f>F171*H171</f>
        <v>21419.884013675266</v>
      </c>
      <c r="K171" s="34">
        <v>764.91049999999996</v>
      </c>
      <c r="L171" s="34">
        <v>27886.883282405219</v>
      </c>
      <c r="M171" s="20"/>
    </row>
    <row r="172" spans="1:14" ht="48">
      <c r="A172" s="45" t="s">
        <v>719</v>
      </c>
      <c r="B172" s="30">
        <v>87777</v>
      </c>
      <c r="C172" s="78" t="s">
        <v>29</v>
      </c>
      <c r="D172" s="31" t="s">
        <v>158</v>
      </c>
      <c r="E172" s="32" t="s">
        <v>19</v>
      </c>
      <c r="F172" s="33">
        <f>'Calc Quant AMPLIAÇÃO'!AK37</f>
        <v>416.1585</v>
      </c>
      <c r="G172" s="34">
        <v>42.9</v>
      </c>
      <c r="H172" s="34">
        <f>G172*(1+$I$5)</f>
        <v>52.71437992232925</v>
      </c>
      <c r="I172" s="34">
        <f>F172*G172</f>
        <v>17853.199649999999</v>
      </c>
      <c r="J172" s="284">
        <f>F172*H172</f>
        <v>21937.537276906656</v>
      </c>
      <c r="K172" s="34">
        <v>416.1585</v>
      </c>
      <c r="L172" s="34">
        <v>21190.945099184424</v>
      </c>
      <c r="M172" s="20"/>
    </row>
    <row r="173" spans="1:14" ht="24">
      <c r="A173" s="45" t="s">
        <v>720</v>
      </c>
      <c r="B173" s="30">
        <v>87265</v>
      </c>
      <c r="C173" s="78" t="s">
        <v>29</v>
      </c>
      <c r="D173" s="31" t="s">
        <v>325</v>
      </c>
      <c r="E173" s="32" t="s">
        <v>19</v>
      </c>
      <c r="F173" s="33">
        <v>107.94</v>
      </c>
      <c r="G173" s="34">
        <v>35.590000000000003</v>
      </c>
      <c r="H173" s="34">
        <f>G173*(1+$I$5)</f>
        <v>43.732046187312314</v>
      </c>
      <c r="I173" s="34">
        <f>F173*G173</f>
        <v>3841.5846000000001</v>
      </c>
      <c r="J173" s="284">
        <f>F173*H173</f>
        <v>4720.4370654584909</v>
      </c>
      <c r="K173" s="34">
        <v>140.79</v>
      </c>
      <c r="L173" s="34">
        <v>6513.4127442847839</v>
      </c>
      <c r="M173" s="20"/>
    </row>
    <row r="174" spans="1:14">
      <c r="A174" s="323" t="s">
        <v>721</v>
      </c>
      <c r="B174" s="324"/>
      <c r="C174" s="324"/>
      <c r="D174" s="324"/>
      <c r="E174" s="324"/>
      <c r="F174" s="324"/>
      <c r="G174" s="324"/>
      <c r="H174" s="324"/>
      <c r="I174" s="48">
        <f>SUM(I169:I173)</f>
        <v>45994.566795000006</v>
      </c>
      <c r="J174" s="285">
        <f>SUM(J169:J173)</f>
        <v>56516.901361179014</v>
      </c>
      <c r="K174" s="293"/>
      <c r="L174" s="293"/>
      <c r="M174" s="282"/>
    </row>
    <row r="175" spans="1:14">
      <c r="A175" s="43" t="s">
        <v>722</v>
      </c>
      <c r="B175" s="35"/>
      <c r="C175" s="27"/>
      <c r="D175" s="28" t="s">
        <v>58</v>
      </c>
      <c r="E175" s="36"/>
      <c r="F175" s="37" t="s">
        <v>74</v>
      </c>
      <c r="G175" s="38"/>
      <c r="H175" s="38"/>
      <c r="I175" s="29"/>
      <c r="J175" s="287"/>
      <c r="K175" s="29"/>
      <c r="L175" s="29"/>
      <c r="M175" s="281"/>
    </row>
    <row r="176" spans="1:14" ht="36">
      <c r="A176" s="45" t="s">
        <v>723</v>
      </c>
      <c r="B176" s="30">
        <v>84191</v>
      </c>
      <c r="C176" s="78" t="s">
        <v>29</v>
      </c>
      <c r="D176" s="31" t="s">
        <v>60</v>
      </c>
      <c r="E176" s="32" t="s">
        <v>19</v>
      </c>
      <c r="F176" s="33">
        <f>'Calc Quant AMPLIAÇÃO'!AL37</f>
        <v>226.53000000000003</v>
      </c>
      <c r="G176" s="34">
        <v>95.32</v>
      </c>
      <c r="H176" s="34">
        <f>G176*(1+$I$5)</f>
        <v>117.12668284840149</v>
      </c>
      <c r="I176" s="34">
        <f>F176*G176</f>
        <v>21592.839600000003</v>
      </c>
      <c r="J176" s="284">
        <f>F176*H176</f>
        <v>26532.707465648393</v>
      </c>
      <c r="K176" s="34">
        <v>226.53000000000003</v>
      </c>
      <c r="L176" s="34">
        <v>29686.458783166192</v>
      </c>
      <c r="M176" s="20"/>
      <c r="N176" s="3">
        <f>J176/$J$178</f>
        <v>0.96656462805378585</v>
      </c>
    </row>
    <row r="177" spans="1:14" ht="48">
      <c r="A177" s="45" t="s">
        <v>724</v>
      </c>
      <c r="B177" s="30">
        <v>94990</v>
      </c>
      <c r="C177" s="78" t="s">
        <v>29</v>
      </c>
      <c r="D177" s="31" t="s">
        <v>565</v>
      </c>
      <c r="E177" s="32" t="s">
        <v>18</v>
      </c>
      <c r="F177" s="33">
        <v>1.38</v>
      </c>
      <c r="G177" s="34">
        <v>541.26</v>
      </c>
      <c r="H177" s="34">
        <f>G177*(1+$I$5)</f>
        <v>665.08590388717789</v>
      </c>
      <c r="I177" s="34">
        <f>F177*G177</f>
        <v>746.9387999999999</v>
      </c>
      <c r="J177" s="284">
        <f>F177*H177</f>
        <v>917.81854736430546</v>
      </c>
      <c r="K177" s="34">
        <v>43.21</v>
      </c>
      <c r="L177" s="34">
        <v>7703.0660781555553</v>
      </c>
      <c r="M177" s="20"/>
      <c r="N177" s="3">
        <f>J177/$J$178</f>
        <v>3.3435371946214112E-2</v>
      </c>
    </row>
    <row r="178" spans="1:14">
      <c r="A178" s="323" t="s">
        <v>725</v>
      </c>
      <c r="B178" s="324"/>
      <c r="C178" s="324"/>
      <c r="D178" s="324"/>
      <c r="E178" s="324"/>
      <c r="F178" s="324"/>
      <c r="G178" s="324"/>
      <c r="H178" s="324"/>
      <c r="I178" s="48">
        <f>SUM(I176:I177)</f>
        <v>22339.778400000003</v>
      </c>
      <c r="J178" s="285">
        <f>SUM(J176:J177)</f>
        <v>27450.526013012699</v>
      </c>
      <c r="K178" s="293"/>
      <c r="L178" s="293"/>
      <c r="M178" s="282"/>
    </row>
    <row r="179" spans="1:14">
      <c r="A179" s="43" t="s">
        <v>726</v>
      </c>
      <c r="B179" s="35"/>
      <c r="C179" s="27"/>
      <c r="D179" s="28" t="s">
        <v>5</v>
      </c>
      <c r="E179" s="36"/>
      <c r="F179" s="37"/>
      <c r="G179" s="38"/>
      <c r="H179" s="38"/>
      <c r="I179" s="29"/>
      <c r="J179" s="287"/>
      <c r="K179" s="29"/>
      <c r="L179" s="29"/>
      <c r="M179" s="281"/>
    </row>
    <row r="180" spans="1:14">
      <c r="A180" s="45" t="s">
        <v>727</v>
      </c>
      <c r="B180" s="321" t="s">
        <v>816</v>
      </c>
      <c r="C180" s="322"/>
      <c r="D180" s="31" t="s">
        <v>447</v>
      </c>
      <c r="E180" s="32" t="s">
        <v>62</v>
      </c>
      <c r="F180" s="33">
        <v>1</v>
      </c>
      <c r="G180" s="34">
        <f>'COMPOSIÇÕES - REFORMAS'!H82</f>
        <v>324.70999999999998</v>
      </c>
      <c r="H180" s="34">
        <f t="shared" ref="H180:H203" si="20">G180*(1+$I$5)</f>
        <v>398.99501875476761</v>
      </c>
      <c r="I180" s="34">
        <f t="shared" ref="I180:I203" si="21">F180*G180</f>
        <v>324.70999999999998</v>
      </c>
      <c r="J180" s="284">
        <f t="shared" ref="J180:J203" si="22">F180*H180</f>
        <v>398.99501875476761</v>
      </c>
      <c r="K180" s="34">
        <v>1</v>
      </c>
      <c r="L180" s="34">
        <v>398.11030188893835</v>
      </c>
      <c r="M180" s="20"/>
    </row>
    <row r="181" spans="1:14">
      <c r="A181" s="45" t="s">
        <v>728</v>
      </c>
      <c r="B181" s="321" t="s">
        <v>817</v>
      </c>
      <c r="C181" s="322"/>
      <c r="D181" s="31" t="s">
        <v>476</v>
      </c>
      <c r="E181" s="32" t="s">
        <v>62</v>
      </c>
      <c r="F181" s="33">
        <v>1</v>
      </c>
      <c r="G181" s="34">
        <f>'COMPOSIÇÕES - REFORMAS'!H102</f>
        <v>2017.1200000000001</v>
      </c>
      <c r="H181" s="34">
        <f t="shared" si="20"/>
        <v>2478.5834505577805</v>
      </c>
      <c r="I181" s="34">
        <f t="shared" si="21"/>
        <v>2017.1200000000001</v>
      </c>
      <c r="J181" s="284">
        <f t="shared" si="22"/>
        <v>2478.5834505577805</v>
      </c>
      <c r="K181" s="34">
        <v>1</v>
      </c>
      <c r="L181" s="34">
        <v>2744.920090375143</v>
      </c>
      <c r="M181" s="20"/>
    </row>
    <row r="182" spans="1:14">
      <c r="A182" s="45" t="s">
        <v>729</v>
      </c>
      <c r="B182" s="321" t="s">
        <v>454</v>
      </c>
      <c r="C182" s="322"/>
      <c r="D182" s="31" t="s">
        <v>490</v>
      </c>
      <c r="E182" s="32" t="s">
        <v>62</v>
      </c>
      <c r="F182" s="33">
        <v>1</v>
      </c>
      <c r="G182" s="34">
        <f>'COMPOSIÇÕES - REFORMAS'!H117</f>
        <v>3233.3904400000001</v>
      </c>
      <c r="H182" s="34">
        <f t="shared" si="20"/>
        <v>3973.1042445544836</v>
      </c>
      <c r="I182" s="34">
        <f t="shared" si="21"/>
        <v>3233.3904400000001</v>
      </c>
      <c r="J182" s="284">
        <f t="shared" si="22"/>
        <v>3973.1042445544836</v>
      </c>
      <c r="K182" s="34">
        <v>1</v>
      </c>
      <c r="L182" s="34">
        <v>3931.1588840777135</v>
      </c>
      <c r="M182" s="20"/>
    </row>
    <row r="183" spans="1:14">
      <c r="A183" s="45" t="s">
        <v>730</v>
      </c>
      <c r="B183" s="121">
        <v>83648</v>
      </c>
      <c r="C183" s="78" t="s">
        <v>29</v>
      </c>
      <c r="D183" s="31" t="s">
        <v>489</v>
      </c>
      <c r="E183" s="32" t="s">
        <v>62</v>
      </c>
      <c r="F183" s="33">
        <v>1</v>
      </c>
      <c r="G183" s="34">
        <v>1026.8399999999999</v>
      </c>
      <c r="H183" s="34">
        <f t="shared" si="20"/>
        <v>1261.7537034835564</v>
      </c>
      <c r="I183" s="34">
        <f t="shared" si="21"/>
        <v>1026.8399999999999</v>
      </c>
      <c r="J183" s="284">
        <f t="shared" si="22"/>
        <v>1261.7537034835564</v>
      </c>
      <c r="K183" s="34">
        <v>1</v>
      </c>
      <c r="L183" s="34">
        <v>1093.8786781924464</v>
      </c>
      <c r="M183" s="20"/>
    </row>
    <row r="184" spans="1:14" ht="24">
      <c r="A184" s="45" t="s">
        <v>731</v>
      </c>
      <c r="B184" s="121" t="s">
        <v>492</v>
      </c>
      <c r="C184" s="78" t="s">
        <v>29</v>
      </c>
      <c r="D184" s="31" t="s">
        <v>491</v>
      </c>
      <c r="E184" s="32" t="s">
        <v>62</v>
      </c>
      <c r="F184" s="33">
        <v>1</v>
      </c>
      <c r="G184" s="34">
        <v>54.63</v>
      </c>
      <c r="H184" s="34">
        <f t="shared" si="20"/>
        <v>67.127892194798306</v>
      </c>
      <c r="I184" s="34">
        <f t="shared" si="21"/>
        <v>54.63</v>
      </c>
      <c r="J184" s="284">
        <f t="shared" si="22"/>
        <v>67.127892194798306</v>
      </c>
      <c r="K184" s="34">
        <v>1</v>
      </c>
      <c r="L184" s="34">
        <v>67.127892194798306</v>
      </c>
      <c r="M184" s="20"/>
    </row>
    <row r="185" spans="1:14" ht="48">
      <c r="A185" s="45" t="s">
        <v>732</v>
      </c>
      <c r="B185" s="121">
        <v>91785</v>
      </c>
      <c r="C185" s="78" t="s">
        <v>29</v>
      </c>
      <c r="D185" s="31" t="s">
        <v>451</v>
      </c>
      <c r="E185" s="32" t="s">
        <v>16</v>
      </c>
      <c r="F185" s="33">
        <v>92.45</v>
      </c>
      <c r="G185" s="34">
        <v>32.380000000000003</v>
      </c>
      <c r="H185" s="34">
        <f t="shared" si="20"/>
        <v>39.787683493823337</v>
      </c>
      <c r="I185" s="34">
        <f t="shared" si="21"/>
        <v>2993.5310000000004</v>
      </c>
      <c r="J185" s="284">
        <f t="shared" si="22"/>
        <v>3678.3713390039675</v>
      </c>
      <c r="K185" s="34">
        <v>102.44999999999999</v>
      </c>
      <c r="L185" s="34">
        <v>4024.6341606217466</v>
      </c>
      <c r="M185" s="20"/>
    </row>
    <row r="186" spans="1:14" ht="48">
      <c r="A186" s="45" t="s">
        <v>733</v>
      </c>
      <c r="B186" s="121">
        <v>91786</v>
      </c>
      <c r="C186" s="78" t="s">
        <v>29</v>
      </c>
      <c r="D186" s="31" t="s">
        <v>493</v>
      </c>
      <c r="E186" s="32" t="s">
        <v>16</v>
      </c>
      <c r="F186" s="33">
        <v>17.53</v>
      </c>
      <c r="G186" s="34">
        <v>19.899999999999999</v>
      </c>
      <c r="H186" s="34">
        <f t="shared" si="20"/>
        <v>24.452591152782098</v>
      </c>
      <c r="I186" s="34">
        <f t="shared" si="21"/>
        <v>348.84699999999998</v>
      </c>
      <c r="J186" s="284">
        <f t="shared" si="22"/>
        <v>428.6539229082702</v>
      </c>
      <c r="K186" s="34">
        <v>17.53</v>
      </c>
      <c r="L186" s="34">
        <v>415.94508800797479</v>
      </c>
      <c r="M186" s="20"/>
    </row>
    <row r="187" spans="1:14" ht="48">
      <c r="A187" s="45" t="s">
        <v>734</v>
      </c>
      <c r="B187" s="121">
        <v>91787</v>
      </c>
      <c r="C187" s="78" t="s">
        <v>29</v>
      </c>
      <c r="D187" s="31" t="s">
        <v>494</v>
      </c>
      <c r="E187" s="32" t="s">
        <v>16</v>
      </c>
      <c r="F187" s="33">
        <v>13.73</v>
      </c>
      <c r="G187" s="34">
        <v>20.62</v>
      </c>
      <c r="H187" s="34">
        <f t="shared" si="20"/>
        <v>25.337308018611402</v>
      </c>
      <c r="I187" s="34">
        <f t="shared" si="21"/>
        <v>283.11260000000004</v>
      </c>
      <c r="J187" s="284">
        <f t="shared" si="22"/>
        <v>347.88123909553457</v>
      </c>
      <c r="K187" s="34">
        <v>13.73</v>
      </c>
      <c r="L187" s="34">
        <v>342.48250017649622</v>
      </c>
      <c r="M187" s="20"/>
    </row>
    <row r="188" spans="1:14" ht="48">
      <c r="A188" s="45" t="s">
        <v>735</v>
      </c>
      <c r="B188" s="121">
        <v>91788</v>
      </c>
      <c r="C188" s="78" t="s">
        <v>29</v>
      </c>
      <c r="D188" s="31" t="s">
        <v>495</v>
      </c>
      <c r="E188" s="32" t="s">
        <v>16</v>
      </c>
      <c r="F188" s="33">
        <v>15.09</v>
      </c>
      <c r="G188" s="34">
        <v>26.95</v>
      </c>
      <c r="H188" s="34">
        <f t="shared" si="20"/>
        <v>33.115443797360683</v>
      </c>
      <c r="I188" s="34">
        <f t="shared" si="21"/>
        <v>406.6755</v>
      </c>
      <c r="J188" s="284">
        <f t="shared" si="22"/>
        <v>499.71204690217269</v>
      </c>
      <c r="K188" s="34">
        <v>15.09</v>
      </c>
      <c r="L188" s="34">
        <v>522.51894180716988</v>
      </c>
      <c r="M188" s="20"/>
    </row>
    <row r="189" spans="1:14" ht="24">
      <c r="A189" s="45" t="s">
        <v>736</v>
      </c>
      <c r="B189" s="121">
        <v>89353</v>
      </c>
      <c r="C189" s="78" t="s">
        <v>29</v>
      </c>
      <c r="D189" s="31" t="s">
        <v>496</v>
      </c>
      <c r="E189" s="32" t="s">
        <v>62</v>
      </c>
      <c r="F189" s="33">
        <v>7</v>
      </c>
      <c r="G189" s="34">
        <v>32.93</v>
      </c>
      <c r="H189" s="34">
        <f t="shared" si="20"/>
        <v>40.463508877442941</v>
      </c>
      <c r="I189" s="34">
        <f t="shared" si="21"/>
        <v>230.51</v>
      </c>
      <c r="J189" s="284">
        <f t="shared" si="22"/>
        <v>283.24456214210056</v>
      </c>
      <c r="K189" s="34">
        <v>7</v>
      </c>
      <c r="L189" s="34">
        <v>283.24456214210056</v>
      </c>
      <c r="M189" s="20"/>
    </row>
    <row r="190" spans="1:14" ht="48">
      <c r="A190" s="45" t="s">
        <v>737</v>
      </c>
      <c r="B190" s="121">
        <v>89970</v>
      </c>
      <c r="C190" s="78" t="s">
        <v>29</v>
      </c>
      <c r="D190" s="31" t="s">
        <v>497</v>
      </c>
      <c r="E190" s="32" t="s">
        <v>62</v>
      </c>
      <c r="F190" s="33">
        <v>3</v>
      </c>
      <c r="G190" s="34">
        <v>38.57</v>
      </c>
      <c r="H190" s="34">
        <f t="shared" si="20"/>
        <v>47.39379099310581</v>
      </c>
      <c r="I190" s="34">
        <f t="shared" si="21"/>
        <v>115.71000000000001</v>
      </c>
      <c r="J190" s="284">
        <f t="shared" si="22"/>
        <v>142.18137297931742</v>
      </c>
      <c r="K190" s="34">
        <v>3</v>
      </c>
      <c r="L190" s="34">
        <v>139.67467519280109</v>
      </c>
      <c r="M190" s="20"/>
    </row>
    <row r="191" spans="1:14" ht="48">
      <c r="A191" s="45" t="s">
        <v>738</v>
      </c>
      <c r="B191" s="121">
        <v>89957</v>
      </c>
      <c r="C191" s="78" t="s">
        <v>29</v>
      </c>
      <c r="D191" s="31" t="s">
        <v>430</v>
      </c>
      <c r="E191" s="32" t="s">
        <v>62</v>
      </c>
      <c r="F191" s="33">
        <v>20</v>
      </c>
      <c r="G191" s="34">
        <v>107.71</v>
      </c>
      <c r="H191" s="34">
        <f t="shared" si="20"/>
        <v>132.35118558121405</v>
      </c>
      <c r="I191" s="34">
        <f t="shared" si="21"/>
        <v>2154.1999999999998</v>
      </c>
      <c r="J191" s="284">
        <f t="shared" si="22"/>
        <v>2647.0237116242811</v>
      </c>
      <c r="K191" s="34">
        <v>20</v>
      </c>
      <c r="L191" s="34">
        <v>2588.5340966055664</v>
      </c>
      <c r="M191" s="20"/>
    </row>
    <row r="192" spans="1:14">
      <c r="A192" s="45" t="s">
        <v>739</v>
      </c>
      <c r="B192" s="321" t="s">
        <v>456</v>
      </c>
      <c r="C192" s="322"/>
      <c r="D192" s="31" t="s">
        <v>431</v>
      </c>
      <c r="E192" s="32" t="s">
        <v>21</v>
      </c>
      <c r="F192" s="33">
        <v>1</v>
      </c>
      <c r="G192" s="34">
        <f>'COMPOSIÇÕES - REFORMAS'!H129</f>
        <v>46.34675</v>
      </c>
      <c r="H192" s="34">
        <f t="shared" si="20"/>
        <v>56.949654724130845</v>
      </c>
      <c r="I192" s="34">
        <f t="shared" si="21"/>
        <v>46.34675</v>
      </c>
      <c r="J192" s="284">
        <f t="shared" si="22"/>
        <v>56.949654724130845</v>
      </c>
      <c r="K192" s="34">
        <v>1</v>
      </c>
      <c r="L192" s="34">
        <v>56.670415963353463</v>
      </c>
      <c r="M192" s="20"/>
    </row>
    <row r="193" spans="1:13">
      <c r="A193" s="45" t="s">
        <v>740</v>
      </c>
      <c r="B193" s="321" t="s">
        <v>510</v>
      </c>
      <c r="C193" s="322"/>
      <c r="D193" s="31" t="s">
        <v>452</v>
      </c>
      <c r="E193" s="32" t="s">
        <v>21</v>
      </c>
      <c r="F193" s="33">
        <v>10</v>
      </c>
      <c r="G193" s="34">
        <f>'COMPOSIÇÕES - REFORMAS'!H141</f>
        <v>72.006500000000003</v>
      </c>
      <c r="H193" s="34">
        <f t="shared" si="20"/>
        <v>88.47967361019117</v>
      </c>
      <c r="I193" s="34">
        <f t="shared" si="21"/>
        <v>720.06500000000005</v>
      </c>
      <c r="J193" s="284">
        <f t="shared" si="22"/>
        <v>884.79673610191173</v>
      </c>
      <c r="K193" s="34">
        <v>10</v>
      </c>
      <c r="L193" s="34">
        <v>919.57716788982611</v>
      </c>
      <c r="M193" s="20"/>
    </row>
    <row r="194" spans="1:13">
      <c r="A194" s="45" t="s">
        <v>741</v>
      </c>
      <c r="B194" s="321" t="s">
        <v>510</v>
      </c>
      <c r="C194" s="322"/>
      <c r="D194" s="31" t="s">
        <v>453</v>
      </c>
      <c r="E194" s="32" t="s">
        <v>21</v>
      </c>
      <c r="F194" s="33">
        <v>3</v>
      </c>
      <c r="G194" s="34">
        <f>'COMPOSIÇÕES - REFORMAS'!H141</f>
        <v>72.006500000000003</v>
      </c>
      <c r="H194" s="34">
        <f t="shared" si="20"/>
        <v>88.47967361019117</v>
      </c>
      <c r="I194" s="34">
        <f t="shared" si="21"/>
        <v>216.01949999999999</v>
      </c>
      <c r="J194" s="284">
        <f t="shared" si="22"/>
        <v>265.4390208305735</v>
      </c>
      <c r="K194" s="34">
        <v>3</v>
      </c>
      <c r="L194" s="34">
        <v>275.87315036694781</v>
      </c>
      <c r="M194" s="20"/>
    </row>
    <row r="195" spans="1:13">
      <c r="A195" s="45" t="s">
        <v>742</v>
      </c>
      <c r="B195" s="321" t="s">
        <v>794</v>
      </c>
      <c r="C195" s="322"/>
      <c r="D195" s="31" t="s">
        <v>458</v>
      </c>
      <c r="E195" s="32" t="s">
        <v>21</v>
      </c>
      <c r="F195" s="33">
        <v>4</v>
      </c>
      <c r="G195" s="34">
        <f>'COMPOSIÇÕES - REFORMAS'!H151</f>
        <v>67.701999999999998</v>
      </c>
      <c r="H195" s="34">
        <f t="shared" si="20"/>
        <v>83.190418403299176</v>
      </c>
      <c r="I195" s="34">
        <f t="shared" si="21"/>
        <v>270.80799999999999</v>
      </c>
      <c r="J195" s="284">
        <f t="shared" si="22"/>
        <v>332.76167361319671</v>
      </c>
      <c r="K195" s="34">
        <v>4</v>
      </c>
      <c r="L195" s="34">
        <v>327.81708935195081</v>
      </c>
      <c r="M195" s="20"/>
    </row>
    <row r="196" spans="1:13">
      <c r="A196" s="45" t="s">
        <v>743</v>
      </c>
      <c r="B196" s="321" t="s">
        <v>794</v>
      </c>
      <c r="C196" s="322"/>
      <c r="D196" s="31" t="s">
        <v>457</v>
      </c>
      <c r="E196" s="32" t="s">
        <v>21</v>
      </c>
      <c r="F196" s="33">
        <v>2</v>
      </c>
      <c r="G196" s="34">
        <f>'COMPOSIÇÕES - REFORMAS'!H151</f>
        <v>67.701999999999998</v>
      </c>
      <c r="H196" s="34">
        <f t="shared" si="20"/>
        <v>83.190418403299176</v>
      </c>
      <c r="I196" s="34">
        <f t="shared" si="21"/>
        <v>135.404</v>
      </c>
      <c r="J196" s="284">
        <f t="shared" si="22"/>
        <v>166.38083680659835</v>
      </c>
      <c r="K196" s="34">
        <v>2</v>
      </c>
      <c r="L196" s="34">
        <v>163.90854467597541</v>
      </c>
      <c r="M196" s="20"/>
    </row>
    <row r="197" spans="1:13">
      <c r="A197" s="45" t="s">
        <v>744</v>
      </c>
      <c r="B197" s="121">
        <v>89707</v>
      </c>
      <c r="C197" s="78" t="s">
        <v>29</v>
      </c>
      <c r="D197" s="31" t="s">
        <v>434</v>
      </c>
      <c r="E197" s="32" t="s">
        <v>62</v>
      </c>
      <c r="F197" s="33">
        <v>9</v>
      </c>
      <c r="G197" s="34">
        <v>20.66</v>
      </c>
      <c r="H197" s="34">
        <f t="shared" si="20"/>
        <v>25.38645895560192</v>
      </c>
      <c r="I197" s="34">
        <f t="shared" si="21"/>
        <v>185.94</v>
      </c>
      <c r="J197" s="284">
        <f t="shared" si="22"/>
        <v>228.47813060041727</v>
      </c>
      <c r="K197" s="34">
        <v>9</v>
      </c>
      <c r="L197" s="34">
        <v>212.99558544840451</v>
      </c>
      <c r="M197" s="20"/>
    </row>
    <row r="198" spans="1:13">
      <c r="A198" s="45" t="s">
        <v>745</v>
      </c>
      <c r="B198" s="121">
        <v>89709</v>
      </c>
      <c r="C198" s="78" t="s">
        <v>29</v>
      </c>
      <c r="D198" s="31" t="s">
        <v>254</v>
      </c>
      <c r="E198" s="32" t="s">
        <v>62</v>
      </c>
      <c r="F198" s="33">
        <v>2</v>
      </c>
      <c r="G198" s="34">
        <v>7.45</v>
      </c>
      <c r="H198" s="34">
        <f t="shared" si="20"/>
        <v>9.1543620144837519</v>
      </c>
      <c r="I198" s="34">
        <f t="shared" si="21"/>
        <v>14.9</v>
      </c>
      <c r="J198" s="284">
        <f t="shared" si="22"/>
        <v>18.308724028967504</v>
      </c>
      <c r="K198" s="34">
        <v>2</v>
      </c>
      <c r="L198" s="34">
        <v>16.662167639785192</v>
      </c>
      <c r="M198" s="20"/>
    </row>
    <row r="199" spans="1:13">
      <c r="A199" s="45" t="s">
        <v>746</v>
      </c>
      <c r="B199" s="119">
        <v>98110</v>
      </c>
      <c r="C199" s="78" t="s">
        <v>29</v>
      </c>
      <c r="D199" s="31" t="s">
        <v>459</v>
      </c>
      <c r="E199" s="32" t="s">
        <v>62</v>
      </c>
      <c r="F199" s="33">
        <v>3</v>
      </c>
      <c r="G199" s="34">
        <v>295.57</v>
      </c>
      <c r="H199" s="34">
        <f t="shared" si="20"/>
        <v>363.18856115717614</v>
      </c>
      <c r="I199" s="34">
        <f t="shared" si="21"/>
        <v>886.71</v>
      </c>
      <c r="J199" s="284">
        <f t="shared" si="22"/>
        <v>1089.5656834715285</v>
      </c>
      <c r="K199" s="34">
        <v>3</v>
      </c>
      <c r="L199" s="34">
        <v>931.56999651551223</v>
      </c>
      <c r="M199" s="20"/>
    </row>
    <row r="200" spans="1:13" ht="36">
      <c r="A200" s="45" t="s">
        <v>747</v>
      </c>
      <c r="B200" s="121" t="s">
        <v>245</v>
      </c>
      <c r="C200" s="78" t="s">
        <v>29</v>
      </c>
      <c r="D200" s="31" t="s">
        <v>460</v>
      </c>
      <c r="E200" s="32" t="s">
        <v>62</v>
      </c>
      <c r="F200" s="33">
        <v>12</v>
      </c>
      <c r="G200" s="34">
        <v>193.28</v>
      </c>
      <c r="H200" s="34">
        <f t="shared" si="20"/>
        <v>237.4973275381771</v>
      </c>
      <c r="I200" s="34">
        <f t="shared" si="21"/>
        <v>2319.36</v>
      </c>
      <c r="J200" s="284">
        <f t="shared" si="22"/>
        <v>2849.967930458125</v>
      </c>
      <c r="K200" s="34">
        <v>12</v>
      </c>
      <c r="L200" s="34">
        <v>2804.257559056945</v>
      </c>
      <c r="M200" s="20"/>
    </row>
    <row r="201" spans="1:13" ht="60">
      <c r="A201" s="45" t="s">
        <v>748</v>
      </c>
      <c r="B201" s="121">
        <v>91795</v>
      </c>
      <c r="C201" s="78" t="s">
        <v>29</v>
      </c>
      <c r="D201" s="31" t="s">
        <v>498</v>
      </c>
      <c r="E201" s="32" t="s">
        <v>16</v>
      </c>
      <c r="F201" s="33">
        <v>120.38</v>
      </c>
      <c r="G201" s="34">
        <v>46.07</v>
      </c>
      <c r="H201" s="34">
        <f t="shared" si="20"/>
        <v>56.609591678827705</v>
      </c>
      <c r="I201" s="34">
        <f t="shared" si="21"/>
        <v>5545.9066000000003</v>
      </c>
      <c r="J201" s="284">
        <f t="shared" si="22"/>
        <v>6814.662646297279</v>
      </c>
      <c r="K201" s="34">
        <v>120.38</v>
      </c>
      <c r="L201" s="34">
        <v>6893.0601110799489</v>
      </c>
      <c r="M201" s="20"/>
    </row>
    <row r="202" spans="1:13" ht="48">
      <c r="A202" s="45" t="s">
        <v>749</v>
      </c>
      <c r="B202" s="121">
        <v>98083</v>
      </c>
      <c r="C202" s="78" t="s">
        <v>29</v>
      </c>
      <c r="D202" s="31" t="s">
        <v>849</v>
      </c>
      <c r="E202" s="32" t="s">
        <v>62</v>
      </c>
      <c r="F202" s="33">
        <v>1</v>
      </c>
      <c r="G202" s="34">
        <v>3411.07</v>
      </c>
      <c r="H202" s="34">
        <f t="shared" si="20"/>
        <v>4191.4321660060523</v>
      </c>
      <c r="I202" s="34">
        <f t="shared" si="21"/>
        <v>3411.07</v>
      </c>
      <c r="J202" s="284">
        <f t="shared" si="22"/>
        <v>4191.4321660060523</v>
      </c>
      <c r="K202" s="34">
        <v>1</v>
      </c>
      <c r="L202" s="34">
        <v>5274.4361993893463</v>
      </c>
      <c r="M202" s="20"/>
    </row>
    <row r="203" spans="1:13" ht="48">
      <c r="A203" s="45" t="s">
        <v>750</v>
      </c>
      <c r="B203" s="121">
        <v>98099</v>
      </c>
      <c r="C203" s="78" t="s">
        <v>29</v>
      </c>
      <c r="D203" s="31" t="s">
        <v>831</v>
      </c>
      <c r="E203" s="32" t="s">
        <v>62</v>
      </c>
      <c r="F203" s="33">
        <v>1</v>
      </c>
      <c r="G203" s="34">
        <v>3015.85</v>
      </c>
      <c r="H203" s="34">
        <f t="shared" si="20"/>
        <v>3705.796333071251</v>
      </c>
      <c r="I203" s="34">
        <f t="shared" si="21"/>
        <v>3015.85</v>
      </c>
      <c r="J203" s="284">
        <f t="shared" si="22"/>
        <v>3705.796333071251</v>
      </c>
      <c r="K203" s="34">
        <v>1</v>
      </c>
      <c r="L203" s="34">
        <v>7232.7446941682592</v>
      </c>
      <c r="M203" s="20"/>
    </row>
    <row r="204" spans="1:13">
      <c r="A204" s="323" t="s">
        <v>751</v>
      </c>
      <c r="B204" s="324"/>
      <c r="C204" s="324"/>
      <c r="D204" s="324"/>
      <c r="E204" s="324"/>
      <c r="F204" s="324"/>
      <c r="G204" s="324"/>
      <c r="H204" s="324"/>
      <c r="I204" s="48">
        <f>SUM(I180:I203)</f>
        <v>29957.656390000004</v>
      </c>
      <c r="J204" s="285">
        <f>SUM(J180:J203)</f>
        <v>36811.172040211066</v>
      </c>
      <c r="K204" s="293"/>
      <c r="L204" s="293"/>
      <c r="M204" s="282"/>
    </row>
    <row r="205" spans="1:13">
      <c r="A205" s="43" t="s">
        <v>752</v>
      </c>
      <c r="B205" s="35"/>
      <c r="C205" s="27"/>
      <c r="D205" s="28" t="s">
        <v>63</v>
      </c>
      <c r="E205" s="36"/>
      <c r="F205" s="37"/>
      <c r="G205" s="38"/>
      <c r="H205" s="38"/>
      <c r="I205" s="29"/>
      <c r="J205" s="287"/>
      <c r="K205" s="29"/>
      <c r="L205" s="29"/>
      <c r="M205" s="281"/>
    </row>
    <row r="206" spans="1:13" ht="48">
      <c r="A206" s="45" t="s">
        <v>753</v>
      </c>
      <c r="B206" s="30">
        <v>86931</v>
      </c>
      <c r="C206" s="78" t="s">
        <v>29</v>
      </c>
      <c r="D206" s="31" t="s">
        <v>66</v>
      </c>
      <c r="E206" s="32" t="s">
        <v>62</v>
      </c>
      <c r="F206" s="33">
        <v>2</v>
      </c>
      <c r="G206" s="34">
        <v>356.81</v>
      </c>
      <c r="H206" s="34">
        <f t="shared" ref="H206:H214" si="23">G206*(1+$I$5)</f>
        <v>438.43864568965733</v>
      </c>
      <c r="I206" s="34">
        <f t="shared" ref="I206:I214" si="24">F206*G206</f>
        <v>713.62</v>
      </c>
      <c r="J206" s="284">
        <f t="shared" ref="J206:J214" si="25">F206*H206</f>
        <v>876.87729137931467</v>
      </c>
      <c r="K206" s="34">
        <v>2</v>
      </c>
      <c r="L206" s="34">
        <v>943.45223553296967</v>
      </c>
      <c r="M206" s="20"/>
    </row>
    <row r="207" spans="1:13" ht="48">
      <c r="A207" s="45" t="s">
        <v>754</v>
      </c>
      <c r="B207" s="30">
        <v>95472</v>
      </c>
      <c r="C207" s="78" t="s">
        <v>29</v>
      </c>
      <c r="D207" s="31" t="s">
        <v>317</v>
      </c>
      <c r="E207" s="32" t="s">
        <v>62</v>
      </c>
      <c r="F207" s="33">
        <v>2</v>
      </c>
      <c r="G207" s="34">
        <v>608.27</v>
      </c>
      <c r="H207" s="34">
        <f t="shared" si="23"/>
        <v>747.42601108054112</v>
      </c>
      <c r="I207" s="34">
        <f t="shared" si="24"/>
        <v>1216.54</v>
      </c>
      <c r="J207" s="284">
        <f t="shared" si="25"/>
        <v>1494.8520221610822</v>
      </c>
      <c r="K207" s="34">
        <v>2</v>
      </c>
      <c r="L207" s="34">
        <v>1479.6643826310126</v>
      </c>
      <c r="M207" s="20"/>
    </row>
    <row r="208" spans="1:13" ht="24">
      <c r="A208" s="45" t="s">
        <v>755</v>
      </c>
      <c r="B208" s="30">
        <v>95544</v>
      </c>
      <c r="C208" s="78" t="s">
        <v>29</v>
      </c>
      <c r="D208" s="31" t="s">
        <v>316</v>
      </c>
      <c r="E208" s="32" t="s">
        <v>62</v>
      </c>
      <c r="F208" s="33">
        <v>4</v>
      </c>
      <c r="G208" s="34">
        <v>24.29</v>
      </c>
      <c r="H208" s="34">
        <f t="shared" si="23"/>
        <v>29.846906487491317</v>
      </c>
      <c r="I208" s="34">
        <f t="shared" si="24"/>
        <v>97.16</v>
      </c>
      <c r="J208" s="284">
        <f t="shared" si="25"/>
        <v>119.38762594996527</v>
      </c>
      <c r="K208" s="34">
        <v>4</v>
      </c>
      <c r="L208" s="34">
        <v>111.37602322051103</v>
      </c>
      <c r="M208" s="20"/>
    </row>
    <row r="209" spans="1:13" ht="58.5" customHeight="1">
      <c r="A209" s="45" t="s">
        <v>756</v>
      </c>
      <c r="B209" s="30">
        <v>86942</v>
      </c>
      <c r="C209" s="78" t="s">
        <v>29</v>
      </c>
      <c r="D209" s="31" t="s">
        <v>160</v>
      </c>
      <c r="E209" s="32" t="s">
        <v>62</v>
      </c>
      <c r="F209" s="33">
        <v>6</v>
      </c>
      <c r="G209" s="34">
        <v>173.23</v>
      </c>
      <c r="H209" s="34">
        <f t="shared" si="23"/>
        <v>212.86042037168056</v>
      </c>
      <c r="I209" s="34">
        <f t="shared" si="24"/>
        <v>1039.3799999999999</v>
      </c>
      <c r="J209" s="284">
        <f t="shared" si="25"/>
        <v>1277.1625222300834</v>
      </c>
      <c r="K209" s="34">
        <v>6</v>
      </c>
      <c r="L209" s="34">
        <v>1274.360918821624</v>
      </c>
      <c r="M209" s="20"/>
    </row>
    <row r="210" spans="1:13" ht="36">
      <c r="A210" s="45" t="s">
        <v>757</v>
      </c>
      <c r="B210" s="30">
        <v>95547</v>
      </c>
      <c r="C210" s="78" t="s">
        <v>29</v>
      </c>
      <c r="D210" s="31" t="s">
        <v>161</v>
      </c>
      <c r="E210" s="32" t="s">
        <v>62</v>
      </c>
      <c r="F210" s="33">
        <v>9</v>
      </c>
      <c r="G210" s="34">
        <v>65.400000000000006</v>
      </c>
      <c r="H210" s="34">
        <f t="shared" si="23"/>
        <v>80.36178197949495</v>
      </c>
      <c r="I210" s="34">
        <f t="shared" si="24"/>
        <v>588.6</v>
      </c>
      <c r="J210" s="284">
        <f t="shared" si="25"/>
        <v>723.25603781545453</v>
      </c>
      <c r="K210" s="34">
        <v>9</v>
      </c>
      <c r="L210" s="34">
        <v>643.07857184967395</v>
      </c>
      <c r="M210" s="20"/>
    </row>
    <row r="211" spans="1:13" ht="36">
      <c r="A211" s="45" t="s">
        <v>758</v>
      </c>
      <c r="B211" s="321" t="s">
        <v>795</v>
      </c>
      <c r="C211" s="322"/>
      <c r="D211" s="31" t="s">
        <v>507</v>
      </c>
      <c r="E211" s="32" t="s">
        <v>62</v>
      </c>
      <c r="F211" s="33">
        <v>1</v>
      </c>
      <c r="G211" s="34">
        <f>'COMPOSIÇÕES - REFORMAS'!H164</f>
        <v>506.42650000000003</v>
      </c>
      <c r="H211" s="34">
        <f t="shared" si="23"/>
        <v>622.28342479569881</v>
      </c>
      <c r="I211" s="34">
        <f t="shared" si="24"/>
        <v>506.42650000000003</v>
      </c>
      <c r="J211" s="284">
        <f t="shared" si="25"/>
        <v>622.28342479569881</v>
      </c>
      <c r="K211" s="34">
        <v>1</v>
      </c>
      <c r="L211" s="34">
        <v>584.16195806585392</v>
      </c>
      <c r="M211" s="20"/>
    </row>
    <row r="212" spans="1:13" ht="24">
      <c r="A212" s="45" t="s">
        <v>759</v>
      </c>
      <c r="B212" s="321" t="s">
        <v>796</v>
      </c>
      <c r="C212" s="322"/>
      <c r="D212" s="31" t="s">
        <v>508</v>
      </c>
      <c r="E212" s="32" t="s">
        <v>62</v>
      </c>
      <c r="F212" s="33">
        <v>1</v>
      </c>
      <c r="G212" s="34">
        <f>'COMPOSIÇÕES - REFORMAS'!H173</f>
        <v>50.886792</v>
      </c>
      <c r="H212" s="34">
        <f t="shared" si="23"/>
        <v>62.528337681038337</v>
      </c>
      <c r="I212" s="34">
        <f t="shared" si="24"/>
        <v>50.886792</v>
      </c>
      <c r="J212" s="284">
        <f t="shared" si="25"/>
        <v>62.528337681038337</v>
      </c>
      <c r="K212" s="34">
        <v>1</v>
      </c>
      <c r="L212" s="34">
        <v>66.74874186685345</v>
      </c>
      <c r="M212" s="20"/>
    </row>
    <row r="213" spans="1:13" ht="24">
      <c r="A213" s="45" t="s">
        <v>760</v>
      </c>
      <c r="B213" s="30">
        <v>9535</v>
      </c>
      <c r="C213" s="78" t="s">
        <v>29</v>
      </c>
      <c r="D213" s="31" t="s">
        <v>511</v>
      </c>
      <c r="E213" s="32" t="s">
        <v>62</v>
      </c>
      <c r="F213" s="33">
        <v>2</v>
      </c>
      <c r="G213" s="34">
        <v>71.849999999999994</v>
      </c>
      <c r="H213" s="34">
        <f t="shared" si="23"/>
        <v>88.287370569215767</v>
      </c>
      <c r="I213" s="34">
        <f t="shared" si="24"/>
        <v>143.69999999999999</v>
      </c>
      <c r="J213" s="284">
        <f t="shared" si="25"/>
        <v>176.57474113843153</v>
      </c>
      <c r="K213" s="34">
        <v>2</v>
      </c>
      <c r="L213" s="34">
        <v>168.26823278703421</v>
      </c>
      <c r="M213" s="20"/>
    </row>
    <row r="214" spans="1:13" ht="24">
      <c r="A214" s="45" t="s">
        <v>761</v>
      </c>
      <c r="B214" s="321" t="s">
        <v>797</v>
      </c>
      <c r="C214" s="322"/>
      <c r="D214" s="31" t="s">
        <v>512</v>
      </c>
      <c r="E214" s="32" t="s">
        <v>62</v>
      </c>
      <c r="F214" s="33">
        <v>4</v>
      </c>
      <c r="G214" s="34">
        <f>'COMPOSIÇÕES - REFORMAS'!H181</f>
        <v>167.42500000000001</v>
      </c>
      <c r="H214" s="34">
        <f t="shared" si="23"/>
        <v>205.72739064093184</v>
      </c>
      <c r="I214" s="34">
        <f t="shared" si="24"/>
        <v>669.7</v>
      </c>
      <c r="J214" s="284">
        <f t="shared" si="25"/>
        <v>822.90956256372738</v>
      </c>
      <c r="K214" s="34">
        <v>4</v>
      </c>
      <c r="L214" s="34">
        <v>1073.5793412153628</v>
      </c>
      <c r="M214" s="20"/>
    </row>
    <row r="215" spans="1:13">
      <c r="A215" s="323" t="s">
        <v>762</v>
      </c>
      <c r="B215" s="324"/>
      <c r="C215" s="324"/>
      <c r="D215" s="324"/>
      <c r="E215" s="324"/>
      <c r="F215" s="324"/>
      <c r="G215" s="324"/>
      <c r="H215" s="324"/>
      <c r="I215" s="48">
        <f>SUM(I206:I214)</f>
        <v>5026.0132919999996</v>
      </c>
      <c r="J215" s="285">
        <f>SUM(J206:J214)</f>
        <v>6175.8315657147969</v>
      </c>
      <c r="K215" s="293"/>
      <c r="L215" s="293"/>
      <c r="M215" s="282"/>
    </row>
    <row r="216" spans="1:13">
      <c r="A216" s="43" t="s">
        <v>763</v>
      </c>
      <c r="B216" s="35"/>
      <c r="C216" s="27"/>
      <c r="D216" s="28" t="s">
        <v>15</v>
      </c>
      <c r="E216" s="36"/>
      <c r="F216" s="37"/>
      <c r="G216" s="38"/>
      <c r="H216" s="38"/>
      <c r="I216" s="29"/>
      <c r="J216" s="287"/>
      <c r="K216" s="29"/>
      <c r="L216" s="29"/>
      <c r="M216" s="281"/>
    </row>
    <row r="217" spans="1:13" ht="24">
      <c r="A217" s="45" t="s">
        <v>764</v>
      </c>
      <c r="B217" s="321" t="s">
        <v>798</v>
      </c>
      <c r="C217" s="322"/>
      <c r="D217" s="31" t="s">
        <v>539</v>
      </c>
      <c r="E217" s="32" t="s">
        <v>62</v>
      </c>
      <c r="F217" s="33">
        <v>1</v>
      </c>
      <c r="G217" s="34">
        <f>'COMPOSIÇÕES - REFORMAS'!H205</f>
        <v>2016.5833314549998</v>
      </c>
      <c r="H217" s="34">
        <f t="shared" ref="H217:H228" si="26">G217*(1+$I$5)</f>
        <v>2477.9240065117779</v>
      </c>
      <c r="I217" s="34">
        <f t="shared" ref="I217:I228" si="27">F217*G217</f>
        <v>2016.5833314549998</v>
      </c>
      <c r="J217" s="284">
        <f t="shared" ref="J217:J228" si="28">F217*H217</f>
        <v>2477.9240065117779</v>
      </c>
      <c r="K217" s="34">
        <v>1</v>
      </c>
      <c r="L217" s="34">
        <v>1797.8372368172923</v>
      </c>
      <c r="M217" s="20"/>
    </row>
    <row r="218" spans="1:13" ht="60">
      <c r="A218" s="45" t="s">
        <v>765</v>
      </c>
      <c r="B218" s="30" t="s">
        <v>514</v>
      </c>
      <c r="C218" s="78" t="s">
        <v>29</v>
      </c>
      <c r="D218" s="31" t="s">
        <v>540</v>
      </c>
      <c r="E218" s="32" t="s">
        <v>62</v>
      </c>
      <c r="F218" s="33">
        <v>2</v>
      </c>
      <c r="G218" s="34">
        <v>294.39999999999998</v>
      </c>
      <c r="H218" s="34">
        <f t="shared" si="26"/>
        <v>361.75089625020348</v>
      </c>
      <c r="I218" s="34">
        <f t="shared" si="27"/>
        <v>588.79999999999995</v>
      </c>
      <c r="J218" s="284">
        <f t="shared" si="28"/>
        <v>723.50179250040696</v>
      </c>
      <c r="K218" s="34">
        <v>2</v>
      </c>
      <c r="L218" s="34">
        <v>821.09097789507814</v>
      </c>
      <c r="M218" s="20"/>
    </row>
    <row r="219" spans="1:13" ht="24">
      <c r="A219" s="45" t="s">
        <v>766</v>
      </c>
      <c r="B219" s="30">
        <v>93653</v>
      </c>
      <c r="C219" s="78" t="s">
        <v>29</v>
      </c>
      <c r="D219" s="31" t="s">
        <v>166</v>
      </c>
      <c r="E219" s="32" t="s">
        <v>62</v>
      </c>
      <c r="F219" s="33">
        <v>5</v>
      </c>
      <c r="G219" s="34">
        <v>10.33</v>
      </c>
      <c r="H219" s="34">
        <f t="shared" si="26"/>
        <v>12.69322947780096</v>
      </c>
      <c r="I219" s="34">
        <f t="shared" si="27"/>
        <v>51.65</v>
      </c>
      <c r="J219" s="284">
        <f t="shared" si="28"/>
        <v>63.466147389004803</v>
      </c>
      <c r="K219" s="34">
        <v>5</v>
      </c>
      <c r="L219" s="34">
        <v>62.7903220053852</v>
      </c>
      <c r="M219" s="20"/>
    </row>
    <row r="220" spans="1:13" ht="24">
      <c r="A220" s="45" t="s">
        <v>767</v>
      </c>
      <c r="B220" s="30">
        <v>93654</v>
      </c>
      <c r="C220" s="78" t="s">
        <v>29</v>
      </c>
      <c r="D220" s="31" t="s">
        <v>541</v>
      </c>
      <c r="E220" s="32" t="s">
        <v>62</v>
      </c>
      <c r="F220" s="33">
        <v>3</v>
      </c>
      <c r="G220" s="34">
        <v>10.82</v>
      </c>
      <c r="H220" s="34">
        <f t="shared" si="26"/>
        <v>13.29532845593479</v>
      </c>
      <c r="I220" s="34">
        <f t="shared" si="27"/>
        <v>32.46</v>
      </c>
      <c r="J220" s="284">
        <f t="shared" si="28"/>
        <v>39.885985367804366</v>
      </c>
      <c r="K220" s="34">
        <v>3</v>
      </c>
      <c r="L220" s="34">
        <v>39.406763732146828</v>
      </c>
      <c r="M220" s="20"/>
    </row>
    <row r="221" spans="1:13" ht="24">
      <c r="A221" s="45" t="s">
        <v>768</v>
      </c>
      <c r="B221" s="30">
        <v>93656</v>
      </c>
      <c r="C221" s="78" t="s">
        <v>29</v>
      </c>
      <c r="D221" s="31" t="s">
        <v>542</v>
      </c>
      <c r="E221" s="32" t="s">
        <v>62</v>
      </c>
      <c r="F221" s="33">
        <v>6</v>
      </c>
      <c r="G221" s="34">
        <v>11.64</v>
      </c>
      <c r="H221" s="34">
        <f t="shared" si="26"/>
        <v>14.302922664240386</v>
      </c>
      <c r="I221" s="34">
        <f t="shared" si="27"/>
        <v>69.84</v>
      </c>
      <c r="J221" s="284">
        <f t="shared" si="28"/>
        <v>85.817535985442319</v>
      </c>
      <c r="K221" s="34">
        <v>6</v>
      </c>
      <c r="L221" s="34">
        <v>84.711639903155685</v>
      </c>
      <c r="M221" s="20"/>
    </row>
    <row r="222" spans="1:13" ht="24">
      <c r="A222" s="45" t="s">
        <v>769</v>
      </c>
      <c r="B222" s="30">
        <v>93672</v>
      </c>
      <c r="C222" s="78" t="s">
        <v>29</v>
      </c>
      <c r="D222" s="31" t="s">
        <v>543</v>
      </c>
      <c r="E222" s="32" t="s">
        <v>62</v>
      </c>
      <c r="F222" s="33">
        <v>2</v>
      </c>
      <c r="G222" s="34">
        <v>77.63</v>
      </c>
      <c r="H222" s="34">
        <f t="shared" si="26"/>
        <v>95.389680964345445</v>
      </c>
      <c r="I222" s="34">
        <f t="shared" si="27"/>
        <v>155.26</v>
      </c>
      <c r="J222" s="284">
        <f t="shared" si="28"/>
        <v>190.77936192869089</v>
      </c>
      <c r="K222" s="34">
        <v>2</v>
      </c>
      <c r="L222" s="34">
        <v>188.78874898057495</v>
      </c>
      <c r="M222" s="20"/>
    </row>
    <row r="223" spans="1:13" ht="24">
      <c r="A223" s="45" t="s">
        <v>770</v>
      </c>
      <c r="B223" s="30">
        <v>93673</v>
      </c>
      <c r="C223" s="78" t="s">
        <v>29</v>
      </c>
      <c r="D223" s="31" t="s">
        <v>544</v>
      </c>
      <c r="E223" s="32" t="s">
        <v>62</v>
      </c>
      <c r="F223" s="33">
        <v>2</v>
      </c>
      <c r="G223" s="34">
        <v>84.24</v>
      </c>
      <c r="H223" s="34">
        <f t="shared" si="26"/>
        <v>103.51187330202835</v>
      </c>
      <c r="I223" s="34">
        <f t="shared" si="27"/>
        <v>168.48</v>
      </c>
      <c r="J223" s="284">
        <f t="shared" si="28"/>
        <v>207.0237466040567</v>
      </c>
      <c r="K223" s="34">
        <v>2</v>
      </c>
      <c r="L223" s="34">
        <v>204.39417147506404</v>
      </c>
      <c r="M223" s="20"/>
    </row>
    <row r="224" spans="1:13" ht="48">
      <c r="A224" s="45" t="s">
        <v>771</v>
      </c>
      <c r="B224" s="30">
        <v>93128</v>
      </c>
      <c r="C224" s="78" t="s">
        <v>29</v>
      </c>
      <c r="D224" s="31" t="s">
        <v>545</v>
      </c>
      <c r="E224" s="32" t="s">
        <v>62</v>
      </c>
      <c r="F224" s="33">
        <v>63</v>
      </c>
      <c r="G224" s="34">
        <v>109.36</v>
      </c>
      <c r="H224" s="34">
        <f t="shared" si="26"/>
        <v>134.37866173207289</v>
      </c>
      <c r="I224" s="34">
        <f t="shared" si="27"/>
        <v>6889.68</v>
      </c>
      <c r="J224" s="284">
        <f t="shared" si="28"/>
        <v>8465.8556891205917</v>
      </c>
      <c r="K224" s="34">
        <v>63</v>
      </c>
      <c r="L224" s="34">
        <v>8374.5086727237176</v>
      </c>
      <c r="M224" s="20"/>
    </row>
    <row r="225" spans="1:13" ht="24">
      <c r="A225" s="45" t="s">
        <v>772</v>
      </c>
      <c r="B225" s="30">
        <v>97605</v>
      </c>
      <c r="C225" s="78" t="s">
        <v>29</v>
      </c>
      <c r="D225" s="31" t="s">
        <v>546</v>
      </c>
      <c r="E225" s="32" t="s">
        <v>62</v>
      </c>
      <c r="F225" s="33">
        <v>8</v>
      </c>
      <c r="G225" s="34">
        <v>82.05</v>
      </c>
      <c r="H225" s="34">
        <f t="shared" si="26"/>
        <v>100.82085950179756</v>
      </c>
      <c r="I225" s="34">
        <f t="shared" si="27"/>
        <v>656.4</v>
      </c>
      <c r="J225" s="284">
        <f t="shared" si="28"/>
        <v>806.56687601438045</v>
      </c>
      <c r="K225" s="34">
        <v>8</v>
      </c>
      <c r="L225" s="34">
        <v>759.87348587338943</v>
      </c>
      <c r="M225" s="20"/>
    </row>
    <row r="226" spans="1:13" ht="36">
      <c r="A226" s="45" t="s">
        <v>773</v>
      </c>
      <c r="B226" s="30">
        <v>97585</v>
      </c>
      <c r="C226" s="78" t="s">
        <v>29</v>
      </c>
      <c r="D226" s="31" t="s">
        <v>547</v>
      </c>
      <c r="E226" s="32" t="s">
        <v>62</v>
      </c>
      <c r="F226" s="33">
        <v>55</v>
      </c>
      <c r="G226" s="34">
        <v>77.66</v>
      </c>
      <c r="H226" s="34">
        <f t="shared" si="26"/>
        <v>95.426544167088338</v>
      </c>
      <c r="I226" s="34">
        <f t="shared" si="27"/>
        <v>4271.3</v>
      </c>
      <c r="J226" s="284">
        <f t="shared" si="28"/>
        <v>5248.4599291898585</v>
      </c>
      <c r="K226" s="34">
        <v>55</v>
      </c>
      <c r="L226" s="34">
        <v>4415.1672311868851</v>
      </c>
      <c r="M226" s="20"/>
    </row>
    <row r="227" spans="1:13" ht="36">
      <c r="A227" s="45" t="s">
        <v>774</v>
      </c>
      <c r="B227" s="30">
        <v>93141</v>
      </c>
      <c r="C227" s="78" t="s">
        <v>29</v>
      </c>
      <c r="D227" s="31" t="s">
        <v>164</v>
      </c>
      <c r="E227" s="32" t="s">
        <v>62</v>
      </c>
      <c r="F227" s="33">
        <v>41</v>
      </c>
      <c r="G227" s="34">
        <v>130.22</v>
      </c>
      <c r="H227" s="34">
        <f t="shared" si="26"/>
        <v>160.0108753726274</v>
      </c>
      <c r="I227" s="34">
        <f t="shared" si="27"/>
        <v>5339.0199999999995</v>
      </c>
      <c r="J227" s="284">
        <f t="shared" si="28"/>
        <v>6560.4458902777233</v>
      </c>
      <c r="K227" s="34">
        <v>41</v>
      </c>
      <c r="L227" s="34">
        <v>6555.9117163403471</v>
      </c>
      <c r="M227" s="20"/>
    </row>
    <row r="228" spans="1:13" ht="47.25" customHeight="1">
      <c r="A228" s="45" t="s">
        <v>775</v>
      </c>
      <c r="B228" s="30">
        <v>93144</v>
      </c>
      <c r="C228" s="78" t="s">
        <v>29</v>
      </c>
      <c r="D228" s="31" t="s">
        <v>548</v>
      </c>
      <c r="E228" s="32" t="s">
        <v>62</v>
      </c>
      <c r="F228" s="33">
        <v>3</v>
      </c>
      <c r="G228" s="34">
        <v>160.66999999999999</v>
      </c>
      <c r="H228" s="34">
        <f t="shared" si="26"/>
        <v>197.42702615665829</v>
      </c>
      <c r="I228" s="34">
        <f t="shared" si="27"/>
        <v>482.01</v>
      </c>
      <c r="J228" s="284">
        <f t="shared" si="28"/>
        <v>592.28107846997489</v>
      </c>
      <c r="K228" s="34">
        <v>3</v>
      </c>
      <c r="L228" s="34">
        <v>607.24753878358717</v>
      </c>
      <c r="M228" s="20"/>
    </row>
    <row r="229" spans="1:13">
      <c r="A229" s="323" t="s">
        <v>776</v>
      </c>
      <c r="B229" s="324"/>
      <c r="C229" s="324"/>
      <c r="D229" s="324"/>
      <c r="E229" s="324"/>
      <c r="F229" s="324"/>
      <c r="G229" s="324"/>
      <c r="H229" s="324"/>
      <c r="I229" s="48">
        <f>SUM(I217:I228)</f>
        <v>20721.483331454998</v>
      </c>
      <c r="J229" s="285">
        <f>SUM(J217:J228)</f>
        <v>25462.008039359713</v>
      </c>
      <c r="K229" s="293"/>
      <c r="L229" s="293"/>
      <c r="M229" s="282"/>
    </row>
    <row r="230" spans="1:13">
      <c r="A230" s="43" t="s">
        <v>777</v>
      </c>
      <c r="B230" s="35"/>
      <c r="C230" s="27"/>
      <c r="D230" s="28" t="s">
        <v>3</v>
      </c>
      <c r="E230" s="36"/>
      <c r="F230" s="37"/>
      <c r="G230" s="38"/>
      <c r="H230" s="38"/>
      <c r="I230" s="29"/>
      <c r="J230" s="287"/>
      <c r="K230" s="29"/>
      <c r="L230" s="29"/>
      <c r="M230" s="281"/>
    </row>
    <row r="231" spans="1:13" ht="36">
      <c r="A231" s="45" t="s">
        <v>778</v>
      </c>
      <c r="B231" s="30">
        <v>88411</v>
      </c>
      <c r="C231" s="78" t="s">
        <v>29</v>
      </c>
      <c r="D231" s="31" t="s">
        <v>549</v>
      </c>
      <c r="E231" s="32" t="s">
        <v>19</v>
      </c>
      <c r="F231" s="33">
        <f>F233+F234+F235</f>
        <v>984.529</v>
      </c>
      <c r="G231" s="34">
        <v>1.88</v>
      </c>
      <c r="H231" s="34">
        <f t="shared" ref="H231:H236" si="29">G231*(1+$I$5)</f>
        <v>2.310094038554289</v>
      </c>
      <c r="I231" s="34">
        <f t="shared" ref="I231:I236" si="30">F231*G231</f>
        <v>1850.9145199999998</v>
      </c>
      <c r="J231" s="284">
        <f t="shared" ref="J231:J236" si="31">F231*H231</f>
        <v>2274.3545736838155</v>
      </c>
      <c r="K231" s="34">
        <v>1181.069</v>
      </c>
      <c r="L231" s="34">
        <v>2713.8677940211624</v>
      </c>
      <c r="M231" s="20"/>
    </row>
    <row r="232" spans="1:13" ht="24">
      <c r="A232" s="45" t="s">
        <v>779</v>
      </c>
      <c r="B232" s="30">
        <v>88495</v>
      </c>
      <c r="C232" s="78" t="s">
        <v>29</v>
      </c>
      <c r="D232" s="31" t="s">
        <v>550</v>
      </c>
      <c r="E232" s="32" t="s">
        <v>19</v>
      </c>
      <c r="F232" s="33">
        <f>F231</f>
        <v>984.529</v>
      </c>
      <c r="G232" s="34">
        <v>6.82</v>
      </c>
      <c r="H232" s="34">
        <f t="shared" si="29"/>
        <v>8.3802347568831124</v>
      </c>
      <c r="I232" s="34">
        <f t="shared" si="30"/>
        <v>6714.4877800000004</v>
      </c>
      <c r="J232" s="284">
        <f t="shared" si="31"/>
        <v>8250.5841449593736</v>
      </c>
      <c r="K232" s="34">
        <v>1181.069</v>
      </c>
      <c r="L232" s="34">
        <v>13148.47177210253</v>
      </c>
      <c r="M232" s="20"/>
    </row>
    <row r="233" spans="1:13" ht="24">
      <c r="A233" s="45" t="s">
        <v>780</v>
      </c>
      <c r="B233" s="30">
        <v>88487</v>
      </c>
      <c r="C233" s="78" t="s">
        <v>29</v>
      </c>
      <c r="D233" s="31" t="s">
        <v>168</v>
      </c>
      <c r="E233" s="32" t="s">
        <v>19</v>
      </c>
      <c r="F233" s="33">
        <f>F171-F235</f>
        <v>301.85050000000001</v>
      </c>
      <c r="G233" s="34">
        <v>8.1199999999999992</v>
      </c>
      <c r="H233" s="34">
        <f t="shared" si="29"/>
        <v>9.9776402090749059</v>
      </c>
      <c r="I233" s="34">
        <f t="shared" si="30"/>
        <v>2451.0260599999997</v>
      </c>
      <c r="J233" s="284">
        <f t="shared" si="31"/>
        <v>3011.755685929365</v>
      </c>
      <c r="K233" s="34">
        <v>489.50649999999996</v>
      </c>
      <c r="L233" s="34">
        <v>4433.000303166993</v>
      </c>
      <c r="M233" s="20"/>
    </row>
    <row r="234" spans="1:13" ht="24">
      <c r="A234" s="45" t="s">
        <v>781</v>
      </c>
      <c r="B234" s="30">
        <v>88487</v>
      </c>
      <c r="C234" s="78" t="s">
        <v>29</v>
      </c>
      <c r="D234" s="31" t="s">
        <v>169</v>
      </c>
      <c r="E234" s="32" t="s">
        <v>19</v>
      </c>
      <c r="F234" s="33">
        <f>F172</f>
        <v>416.1585</v>
      </c>
      <c r="G234" s="34">
        <v>8.1199999999999992</v>
      </c>
      <c r="H234" s="34">
        <f t="shared" si="29"/>
        <v>9.9776402090749059</v>
      </c>
      <c r="I234" s="34">
        <f t="shared" si="30"/>
        <v>3379.2070199999998</v>
      </c>
      <c r="J234" s="284">
        <f t="shared" si="31"/>
        <v>4152.2797829482988</v>
      </c>
      <c r="K234" s="34">
        <v>416.1585</v>
      </c>
      <c r="L234" s="34">
        <v>3768.7564039814001</v>
      </c>
      <c r="M234" s="20"/>
    </row>
    <row r="235" spans="1:13" ht="36">
      <c r="A235" s="45" t="s">
        <v>782</v>
      </c>
      <c r="B235" s="321" t="s">
        <v>807</v>
      </c>
      <c r="C235" s="322"/>
      <c r="D235" s="31" t="s">
        <v>551</v>
      </c>
      <c r="E235" s="32" t="s">
        <v>19</v>
      </c>
      <c r="F235" s="33">
        <f>'Calc Quant AMPLIAÇÃO'!AQ37</f>
        <v>266.52</v>
      </c>
      <c r="G235" s="34">
        <f>'COMPOSIÇÕES - REFORMAS'!H312</f>
        <v>10.655999999999999</v>
      </c>
      <c r="H235" s="34">
        <f t="shared" si="29"/>
        <v>13.09380961427367</v>
      </c>
      <c r="I235" s="34">
        <f t="shared" si="30"/>
        <v>2840.0371199999995</v>
      </c>
      <c r="J235" s="284">
        <f t="shared" si="31"/>
        <v>3489.7621383962182</v>
      </c>
      <c r="K235" s="34">
        <v>275.404</v>
      </c>
      <c r="L235" s="34">
        <v>3493.4311482020089</v>
      </c>
      <c r="M235" s="20"/>
    </row>
    <row r="236" spans="1:13" ht="36">
      <c r="A236" s="45" t="s">
        <v>783</v>
      </c>
      <c r="B236" s="30" t="s">
        <v>22</v>
      </c>
      <c r="C236" s="78" t="s">
        <v>29</v>
      </c>
      <c r="D236" s="31" t="s">
        <v>71</v>
      </c>
      <c r="E236" s="32" t="s">
        <v>19</v>
      </c>
      <c r="F236" s="33">
        <f>(((0.8*2.1*2.5)*F159)+((0.7*2.1*2.5)*F160)+((0.9*2.1*2.5)*F161))+(2.5*(F162+F163))</f>
        <v>66.1875</v>
      </c>
      <c r="G236" s="34">
        <v>18.29</v>
      </c>
      <c r="H236" s="34">
        <f t="shared" si="29"/>
        <v>22.474265938913799</v>
      </c>
      <c r="I236" s="34">
        <f t="shared" si="30"/>
        <v>1210.569375</v>
      </c>
      <c r="J236" s="284">
        <f t="shared" si="31"/>
        <v>1487.5154768318571</v>
      </c>
      <c r="K236" s="34">
        <v>66.1875</v>
      </c>
      <c r="L236" s="34">
        <v>1441.9709898430197</v>
      </c>
      <c r="M236" s="20"/>
    </row>
    <row r="237" spans="1:13">
      <c r="A237" s="323" t="s">
        <v>784</v>
      </c>
      <c r="B237" s="324"/>
      <c r="C237" s="324"/>
      <c r="D237" s="324"/>
      <c r="E237" s="324"/>
      <c r="F237" s="324"/>
      <c r="G237" s="324"/>
      <c r="H237" s="324"/>
      <c r="I237" s="48">
        <f>SUM(I231:I236)</f>
        <v>18446.241875</v>
      </c>
      <c r="J237" s="285">
        <f>SUM(J231:J236)</f>
        <v>22666.251802748928</v>
      </c>
      <c r="K237" s="293"/>
      <c r="L237" s="293"/>
      <c r="M237" s="282"/>
    </row>
    <row r="238" spans="1:13">
      <c r="A238" s="43" t="s">
        <v>785</v>
      </c>
      <c r="B238" s="35"/>
      <c r="C238" s="27"/>
      <c r="D238" s="28" t="s">
        <v>25</v>
      </c>
      <c r="E238" s="36"/>
      <c r="F238" s="37"/>
      <c r="G238" s="38"/>
      <c r="H238" s="38"/>
      <c r="I238" s="29"/>
      <c r="J238" s="287"/>
      <c r="K238" s="29"/>
      <c r="L238" s="29"/>
      <c r="M238" s="281"/>
    </row>
    <row r="239" spans="1:13">
      <c r="A239" s="45" t="s">
        <v>786</v>
      </c>
      <c r="B239" s="30">
        <v>9537</v>
      </c>
      <c r="C239" s="78" t="s">
        <v>29</v>
      </c>
      <c r="D239" s="31" t="s">
        <v>23</v>
      </c>
      <c r="E239" s="32" t="s">
        <v>19</v>
      </c>
      <c r="F239" s="33">
        <f>F148+F151+F153</f>
        <v>234.89999999999998</v>
      </c>
      <c r="G239" s="34">
        <v>1.98</v>
      </c>
      <c r="H239" s="34">
        <f>G239*(1+$I$5)</f>
        <v>2.4329713810305806</v>
      </c>
      <c r="I239" s="34">
        <f>F239*G239</f>
        <v>465.10199999999998</v>
      </c>
      <c r="J239" s="284">
        <f>F239*H239</f>
        <v>571.50497740408332</v>
      </c>
      <c r="K239" s="34">
        <v>270.01</v>
      </c>
      <c r="L239" s="34">
        <v>656.92660259206707</v>
      </c>
      <c r="M239" s="20"/>
    </row>
    <row r="240" spans="1:13">
      <c r="A240" s="45" t="s">
        <v>787</v>
      </c>
      <c r="B240" s="253">
        <v>98504</v>
      </c>
      <c r="C240" s="78" t="s">
        <v>29</v>
      </c>
      <c r="D240" s="254" t="s">
        <v>556</v>
      </c>
      <c r="E240" s="32" t="s">
        <v>19</v>
      </c>
      <c r="F240" s="255">
        <f>'Calc Quant AMPLIAÇÃO'!AO37</f>
        <v>22.27</v>
      </c>
      <c r="G240" s="256">
        <v>8.3800000000000008</v>
      </c>
      <c r="H240" s="34">
        <f>G240*(1+$I$5)</f>
        <v>10.297121299513268</v>
      </c>
      <c r="I240" s="34">
        <f>F240*G240</f>
        <v>186.62260000000001</v>
      </c>
      <c r="J240" s="284">
        <f>F240*H240</f>
        <v>229.31689134016048</v>
      </c>
      <c r="K240" s="34">
        <v>22.27</v>
      </c>
      <c r="L240" s="34">
        <v>225.75946939812931</v>
      </c>
      <c r="M240" s="20"/>
    </row>
    <row r="241" spans="1:15" ht="13.5" thickBot="1">
      <c r="A241" s="316" t="s">
        <v>328</v>
      </c>
      <c r="B241" s="317"/>
      <c r="C241" s="317"/>
      <c r="D241" s="317"/>
      <c r="E241" s="317"/>
      <c r="F241" s="317"/>
      <c r="G241" s="317"/>
      <c r="H241" s="317"/>
      <c r="I241" s="49">
        <f>SUM(I239:I240)</f>
        <v>651.72460000000001</v>
      </c>
      <c r="J241" s="288">
        <f>SUM(J239:J240)</f>
        <v>800.82186874424383</v>
      </c>
      <c r="K241" s="293"/>
      <c r="L241" s="293"/>
      <c r="M241" s="282"/>
    </row>
    <row r="242" spans="1:15" ht="13.5" thickBot="1">
      <c r="A242" s="15"/>
      <c r="B242" s="13"/>
      <c r="C242" s="16"/>
      <c r="D242" s="17"/>
      <c r="E242" s="18"/>
      <c r="F242" s="19"/>
      <c r="G242" s="20"/>
      <c r="H242" s="20"/>
      <c r="I242" s="20"/>
      <c r="J242" s="20"/>
      <c r="K242" s="34"/>
      <c r="L242" s="34"/>
      <c r="M242" s="20"/>
    </row>
    <row r="243" spans="1:15" ht="16.5" thickBot="1">
      <c r="A243" s="318" t="s">
        <v>788</v>
      </c>
      <c r="B243" s="319"/>
      <c r="C243" s="319"/>
      <c r="D243" s="319"/>
      <c r="E243" s="319"/>
      <c r="F243" s="319"/>
      <c r="G243" s="319"/>
      <c r="H243" s="320"/>
      <c r="I243" s="261">
        <f>I241+I237+I229+I215+I204+I178+I174+I167+I156+I146+I136+I129+I124</f>
        <v>273685.17537995934</v>
      </c>
      <c r="J243" s="290">
        <f>J241+J237+J229+J215+J204+J178+J174+J167+J156+J146+J136+J129+J124</f>
        <v>336297.07025847287</v>
      </c>
      <c r="K243" s="294"/>
      <c r="L243" s="294"/>
      <c r="M243" s="264"/>
    </row>
    <row r="244" spans="1:15" ht="16.5" thickBot="1">
      <c r="A244" s="312" t="s">
        <v>818</v>
      </c>
      <c r="B244" s="313"/>
      <c r="C244" s="313"/>
      <c r="D244" s="313"/>
      <c r="E244" s="313"/>
      <c r="F244" s="313"/>
      <c r="G244" s="313"/>
      <c r="H244" s="315"/>
      <c r="I244" s="39">
        <f>I243+I115+I18</f>
        <v>329853.81882858375</v>
      </c>
      <c r="J244" s="286">
        <f>J243+J115+J18</f>
        <v>405315.60663312644</v>
      </c>
      <c r="K244" s="294"/>
      <c r="L244" s="294"/>
      <c r="M244" s="264"/>
    </row>
    <row r="245" spans="1:15" ht="3.75" customHeight="1" thickBot="1">
      <c r="A245" s="262"/>
      <c r="B245" s="263"/>
      <c r="C245" s="263"/>
      <c r="D245" s="263"/>
      <c r="E245" s="263"/>
      <c r="F245" s="263"/>
      <c r="G245" s="263"/>
      <c r="H245" s="263"/>
      <c r="I245" s="264"/>
      <c r="J245" s="265"/>
      <c r="K245" s="264"/>
      <c r="L245" s="264"/>
      <c r="M245" s="264"/>
    </row>
    <row r="246" spans="1:15">
      <c r="A246" s="334" t="s">
        <v>203</v>
      </c>
      <c r="B246" s="335"/>
      <c r="C246" s="335"/>
      <c r="D246" s="335"/>
      <c r="E246" s="336"/>
      <c r="F246" s="325" t="s">
        <v>105</v>
      </c>
      <c r="G246" s="326"/>
      <c r="H246" s="326"/>
      <c r="I246" s="326"/>
      <c r="J246" s="327"/>
      <c r="K246" s="274"/>
      <c r="L246" s="274"/>
      <c r="M246" s="274"/>
    </row>
    <row r="247" spans="1:15">
      <c r="A247" s="337"/>
      <c r="B247" s="338"/>
      <c r="C247" s="338"/>
      <c r="D247" s="338"/>
      <c r="E247" s="339"/>
      <c r="F247" s="328"/>
      <c r="G247" s="329"/>
      <c r="H247" s="329"/>
      <c r="I247" s="329"/>
      <c r="J247" s="330"/>
      <c r="K247" s="274"/>
      <c r="L247" s="274"/>
      <c r="M247" s="274"/>
    </row>
    <row r="248" spans="1:15">
      <c r="A248" s="337"/>
      <c r="B248" s="338"/>
      <c r="C248" s="338"/>
      <c r="D248" s="338"/>
      <c r="E248" s="339"/>
      <c r="F248" s="328"/>
      <c r="G248" s="329"/>
      <c r="H248" s="329"/>
      <c r="I248" s="329"/>
      <c r="J248" s="330"/>
      <c r="K248" s="274"/>
      <c r="L248" s="274"/>
      <c r="M248" s="274"/>
    </row>
    <row r="249" spans="1:15">
      <c r="A249" s="337"/>
      <c r="B249" s="338"/>
      <c r="C249" s="338"/>
      <c r="D249" s="338"/>
      <c r="E249" s="339"/>
      <c r="F249" s="328"/>
      <c r="G249" s="329"/>
      <c r="H249" s="329"/>
      <c r="I249" s="329"/>
      <c r="J249" s="330"/>
      <c r="K249" s="274"/>
      <c r="L249" s="274"/>
      <c r="M249" s="274"/>
    </row>
    <row r="250" spans="1:15">
      <c r="A250" s="337"/>
      <c r="B250" s="338"/>
      <c r="C250" s="338"/>
      <c r="D250" s="338"/>
      <c r="E250" s="339"/>
      <c r="F250" s="328"/>
      <c r="G250" s="329"/>
      <c r="H250" s="329"/>
      <c r="I250" s="329"/>
      <c r="J250" s="330"/>
      <c r="K250" s="274"/>
      <c r="L250" s="274"/>
      <c r="M250" s="274"/>
    </row>
    <row r="251" spans="1:15" ht="40.5" customHeight="1" thickBot="1">
      <c r="A251" s="340"/>
      <c r="B251" s="341"/>
      <c r="C251" s="341"/>
      <c r="D251" s="341"/>
      <c r="E251" s="342"/>
      <c r="F251" s="331"/>
      <c r="G251" s="332"/>
      <c r="H251" s="332"/>
      <c r="I251" s="332"/>
      <c r="J251" s="333"/>
      <c r="K251" s="274"/>
      <c r="L251" s="274"/>
      <c r="M251" s="274"/>
    </row>
    <row r="252" spans="1:15" ht="13.5" thickBot="1"/>
    <row r="253" spans="1:15" ht="16.5" thickBot="1">
      <c r="I253" s="39">
        <v>1187824.4779570671</v>
      </c>
      <c r="O253" s="75"/>
    </row>
    <row r="254" spans="1:15">
      <c r="I254" s="4">
        <f>I253*0.02</f>
        <v>23756.489559141341</v>
      </c>
    </row>
  </sheetData>
  <mergeCells count="79">
    <mergeCell ref="A1:J1"/>
    <mergeCell ref="B13:C13"/>
    <mergeCell ref="B14:C14"/>
    <mergeCell ref="B15:C15"/>
    <mergeCell ref="A6:F6"/>
    <mergeCell ref="I5:J6"/>
    <mergeCell ref="G5:H6"/>
    <mergeCell ref="A5:F5"/>
    <mergeCell ref="I4:J4"/>
    <mergeCell ref="G4:H4"/>
    <mergeCell ref="A4:F4"/>
    <mergeCell ref="A8:J8"/>
    <mergeCell ref="A2:J2"/>
    <mergeCell ref="A101:H101"/>
    <mergeCell ref="A109:H109"/>
    <mergeCell ref="A87:H87"/>
    <mergeCell ref="A94:H94"/>
    <mergeCell ref="B22:C22"/>
    <mergeCell ref="A31:H31"/>
    <mergeCell ref="A52:H52"/>
    <mergeCell ref="A35:H35"/>
    <mergeCell ref="A40:H40"/>
    <mergeCell ref="A46:H46"/>
    <mergeCell ref="A75:H75"/>
    <mergeCell ref="A65:H65"/>
    <mergeCell ref="A72:H72"/>
    <mergeCell ref="B49:C49"/>
    <mergeCell ref="B50:C50"/>
    <mergeCell ref="B51:C51"/>
    <mergeCell ref="A17:H17"/>
    <mergeCell ref="A59:H59"/>
    <mergeCell ref="B82:C82"/>
    <mergeCell ref="B80:C80"/>
    <mergeCell ref="F246:J251"/>
    <mergeCell ref="A246:E251"/>
    <mergeCell ref="A115:H115"/>
    <mergeCell ref="A113:H113"/>
    <mergeCell ref="B81:C81"/>
    <mergeCell ref="B93:C93"/>
    <mergeCell ref="B107:C107"/>
    <mergeCell ref="A117:J117"/>
    <mergeCell ref="A146:H146"/>
    <mergeCell ref="A156:H156"/>
    <mergeCell ref="A124:H124"/>
    <mergeCell ref="A129:H129"/>
    <mergeCell ref="A136:H136"/>
    <mergeCell ref="A167:H167"/>
    <mergeCell ref="A174:H174"/>
    <mergeCell ref="A178:H178"/>
    <mergeCell ref="B180:C180"/>
    <mergeCell ref="B158:C158"/>
    <mergeCell ref="B181:C181"/>
    <mergeCell ref="B182:C182"/>
    <mergeCell ref="B192:C192"/>
    <mergeCell ref="B193:C193"/>
    <mergeCell ref="B194:C194"/>
    <mergeCell ref="B235:C235"/>
    <mergeCell ref="A237:H237"/>
    <mergeCell ref="B196:C196"/>
    <mergeCell ref="A204:H204"/>
    <mergeCell ref="B211:C211"/>
    <mergeCell ref="B212:C212"/>
    <mergeCell ref="B214:C214"/>
    <mergeCell ref="A19:J19"/>
    <mergeCell ref="A18:H18"/>
    <mergeCell ref="A11:J11"/>
    <mergeCell ref="A244:H244"/>
    <mergeCell ref="A241:H241"/>
    <mergeCell ref="A243:H243"/>
    <mergeCell ref="B140:C140"/>
    <mergeCell ref="B141:C141"/>
    <mergeCell ref="B142:C142"/>
    <mergeCell ref="B143:C143"/>
    <mergeCell ref="B144:C144"/>
    <mergeCell ref="B145:C145"/>
    <mergeCell ref="A215:H215"/>
    <mergeCell ref="B217:C217"/>
    <mergeCell ref="B195:C195"/>
    <mergeCell ref="A229:H229"/>
  </mergeCells>
  <pageMargins left="0.51181102362204722" right="0.51181102362204722" top="0.78740157480314965" bottom="0.78740157480314965" header="0.31496062992125984" footer="0.31496062992125984"/>
  <pageSetup paperSize="9" scale="50" orientation="portrait" r:id="rId1"/>
  <rowBreaks count="3" manualBreakCount="3">
    <brk id="52" max="9" man="1"/>
    <brk id="72" max="9" man="1"/>
    <brk id="136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47"/>
  <sheetViews>
    <sheetView view="pageBreakPreview" topLeftCell="A7" zoomScaleSheetLayoutView="100" workbookViewId="0">
      <pane ySplit="3" topLeftCell="A130" activePane="bottomLeft" state="frozen"/>
      <selection activeCell="A7" sqref="A7"/>
      <selection pane="bottomLeft" activeCell="D134" sqref="D134"/>
    </sheetView>
  </sheetViews>
  <sheetFormatPr defaultRowHeight="12.75"/>
  <cols>
    <col min="1" max="1" width="9.140625" style="5"/>
    <col min="2" max="2" width="10.28515625" style="7" customWidth="1"/>
    <col min="3" max="3" width="7.5703125" style="3" customWidth="1"/>
    <col min="4" max="4" width="46.5703125" style="2" customWidth="1"/>
    <col min="5" max="5" width="6.42578125" style="5" bestFit="1" customWidth="1"/>
    <col min="6" max="6" width="10.28515625" style="6" customWidth="1"/>
    <col min="7" max="7" width="11.7109375" style="4" customWidth="1"/>
    <col min="8" max="8" width="13.28515625" style="4" customWidth="1"/>
    <col min="9" max="10" width="14.7109375" style="4" customWidth="1"/>
    <col min="11" max="11" width="5.7109375" style="3" bestFit="1" customWidth="1"/>
    <col min="12" max="12" width="13.7109375" style="3" customWidth="1"/>
    <col min="13" max="13" width="12.7109375" style="3" customWidth="1"/>
    <col min="14" max="16384" width="9.140625" style="3"/>
  </cols>
  <sheetData>
    <row r="1" spans="1:13">
      <c r="A1" s="343" t="s">
        <v>55</v>
      </c>
      <c r="B1" s="343"/>
      <c r="C1" s="343"/>
      <c r="D1" s="343"/>
      <c r="E1" s="343"/>
      <c r="F1" s="343"/>
      <c r="G1" s="343"/>
      <c r="H1" s="343"/>
      <c r="I1" s="343"/>
      <c r="J1" s="343"/>
    </row>
    <row r="2" spans="1:13" ht="18">
      <c r="A2" s="365" t="s">
        <v>178</v>
      </c>
      <c r="B2" s="365"/>
      <c r="C2" s="365"/>
      <c r="D2" s="365"/>
      <c r="E2" s="365"/>
      <c r="F2" s="365"/>
      <c r="G2" s="365"/>
      <c r="H2" s="365"/>
      <c r="I2" s="365"/>
      <c r="J2" s="365"/>
    </row>
    <row r="3" spans="1:13" ht="8.25" customHeight="1" thickBot="1">
      <c r="B3" s="5"/>
      <c r="C3" s="5"/>
      <c r="D3" s="5"/>
      <c r="F3" s="5"/>
      <c r="G3" s="5"/>
      <c r="H3" s="5"/>
      <c r="I3" s="5"/>
      <c r="J3" s="5"/>
    </row>
    <row r="4" spans="1:13" ht="28.5" customHeight="1">
      <c r="A4" s="393" t="s">
        <v>221</v>
      </c>
      <c r="B4" s="394"/>
      <c r="C4" s="394"/>
      <c r="D4" s="394"/>
      <c r="E4" s="394"/>
      <c r="F4" s="394"/>
      <c r="G4" s="395" t="s">
        <v>56</v>
      </c>
      <c r="H4" s="395"/>
      <c r="I4" s="395" t="s">
        <v>238</v>
      </c>
      <c r="J4" s="396"/>
    </row>
    <row r="5" spans="1:13" ht="12.75" customHeight="1">
      <c r="A5" s="380" t="s">
        <v>222</v>
      </c>
      <c r="B5" s="381"/>
      <c r="C5" s="381"/>
      <c r="D5" s="381"/>
      <c r="E5" s="381"/>
      <c r="F5" s="381"/>
      <c r="G5" s="382" t="s">
        <v>14</v>
      </c>
      <c r="H5" s="382"/>
      <c r="I5" s="384">
        <f>BDI!E31</f>
        <v>0.22877342476291962</v>
      </c>
      <c r="J5" s="385"/>
    </row>
    <row r="6" spans="1:13" ht="13.5" thickBot="1">
      <c r="A6" s="388" t="s">
        <v>286</v>
      </c>
      <c r="B6" s="389"/>
      <c r="C6" s="389"/>
      <c r="D6" s="389"/>
      <c r="E6" s="389"/>
      <c r="F6" s="389"/>
      <c r="G6" s="383"/>
      <c r="H6" s="383"/>
      <c r="I6" s="386"/>
      <c r="J6" s="387"/>
    </row>
    <row r="7" spans="1:13" ht="15.75" customHeight="1" thickBot="1">
      <c r="A7" s="14"/>
      <c r="B7" s="14"/>
      <c r="C7" s="14"/>
      <c r="D7" s="14"/>
      <c r="E7" s="14"/>
      <c r="F7" s="14"/>
      <c r="G7" s="11"/>
      <c r="H7" s="11"/>
      <c r="I7" s="11"/>
      <c r="J7" s="12"/>
    </row>
    <row r="8" spans="1:13" ht="15.75" customHeight="1" thickBot="1">
      <c r="A8" s="310" t="s">
        <v>9</v>
      </c>
      <c r="B8" s="311"/>
      <c r="C8" s="311"/>
      <c r="D8" s="311"/>
      <c r="E8" s="311"/>
      <c r="F8" s="311"/>
      <c r="G8" s="311"/>
      <c r="H8" s="311"/>
      <c r="I8" s="311"/>
      <c r="J8" s="364"/>
    </row>
    <row r="9" spans="1:13" ht="32.25" customHeight="1" thickBot="1">
      <c r="A9" s="10" t="s">
        <v>10</v>
      </c>
      <c r="B9" s="40" t="s">
        <v>24</v>
      </c>
      <c r="C9" s="40" t="s">
        <v>28</v>
      </c>
      <c r="D9" s="40" t="s">
        <v>11</v>
      </c>
      <c r="E9" s="40" t="s">
        <v>12</v>
      </c>
      <c r="F9" s="41" t="s">
        <v>13</v>
      </c>
      <c r="G9" s="42" t="s">
        <v>31</v>
      </c>
      <c r="H9" s="42" t="s">
        <v>32</v>
      </c>
      <c r="I9" s="42" t="s">
        <v>33</v>
      </c>
      <c r="J9" s="118" t="s">
        <v>27</v>
      </c>
      <c r="L9" s="75" t="e">
        <f>J138</f>
        <v>#REF!</v>
      </c>
    </row>
    <row r="10" spans="1:13" ht="6" customHeight="1">
      <c r="A10" s="21"/>
      <c r="B10" s="22"/>
      <c r="C10" s="22"/>
      <c r="D10" s="22"/>
      <c r="E10" s="23"/>
      <c r="F10" s="24"/>
      <c r="G10" s="25"/>
      <c r="H10" s="25"/>
      <c r="I10" s="25"/>
      <c r="J10" s="26"/>
    </row>
    <row r="11" spans="1:13" ht="18.75" customHeight="1">
      <c r="A11" s="390" t="s">
        <v>320</v>
      </c>
      <c r="B11" s="391"/>
      <c r="C11" s="391"/>
      <c r="D11" s="391"/>
      <c r="E11" s="391"/>
      <c r="F11" s="391"/>
      <c r="G11" s="391"/>
      <c r="H11" s="391"/>
      <c r="I11" s="391"/>
      <c r="J11" s="392"/>
    </row>
    <row r="12" spans="1:13" ht="12.75" customHeight="1">
      <c r="A12" s="142">
        <v>1</v>
      </c>
      <c r="B12" s="143"/>
      <c r="C12" s="144"/>
      <c r="D12" s="145" t="s">
        <v>0</v>
      </c>
      <c r="E12" s="146" t="s">
        <v>1</v>
      </c>
      <c r="F12" s="147"/>
      <c r="G12" s="148"/>
      <c r="H12" s="148"/>
      <c r="I12" s="149"/>
      <c r="J12" s="150"/>
    </row>
    <row r="13" spans="1:13" ht="24">
      <c r="A13" s="108" t="s">
        <v>34</v>
      </c>
      <c r="B13" s="321" t="s">
        <v>139</v>
      </c>
      <c r="C13" s="322"/>
      <c r="D13" s="31" t="s">
        <v>204</v>
      </c>
      <c r="E13" s="109" t="s">
        <v>205</v>
      </c>
      <c r="F13" s="110" t="e">
        <f>#REF!</f>
        <v>#REF!</v>
      </c>
      <c r="G13" s="111">
        <f>'COMPOSIÇÕES - REFORMAS'!H16</f>
        <v>1086.8545999999999</v>
      </c>
      <c r="H13" s="34">
        <f>G13*(1+$J$5)</f>
        <v>1086.8545999999999</v>
      </c>
      <c r="I13" s="34" t="e">
        <f>F13*G13</f>
        <v>#REF!</v>
      </c>
      <c r="J13" s="34" t="e">
        <f>F13*H13</f>
        <v>#REF!</v>
      </c>
      <c r="L13" s="3" t="e">
        <f>J13/J17</f>
        <v>#REF!</v>
      </c>
      <c r="M13" s="3" t="e">
        <f>L13/3</f>
        <v>#REF!</v>
      </c>
    </row>
    <row r="14" spans="1:13" ht="12.75" customHeight="1">
      <c r="A14" s="108" t="s">
        <v>206</v>
      </c>
      <c r="B14" s="321" t="s">
        <v>138</v>
      </c>
      <c r="C14" s="322"/>
      <c r="D14" s="31" t="s">
        <v>207</v>
      </c>
      <c r="E14" s="112" t="s">
        <v>62</v>
      </c>
      <c r="F14" s="110" t="e">
        <f>#REF!</f>
        <v>#REF!</v>
      </c>
      <c r="G14" s="111">
        <f>'COMPOSIÇÕES - REFORMAS'!H22</f>
        <v>911.81999999999994</v>
      </c>
      <c r="H14" s="34">
        <f>G14*(1+$J$5)</f>
        <v>911.81999999999994</v>
      </c>
      <c r="I14" s="34" t="e">
        <f>F14*G14</f>
        <v>#REF!</v>
      </c>
      <c r="J14" s="34" t="e">
        <f>F14*H14</f>
        <v>#REF!</v>
      </c>
    </row>
    <row r="15" spans="1:13" ht="12.75" customHeight="1">
      <c r="A15" s="108" t="s">
        <v>208</v>
      </c>
      <c r="B15" s="321" t="s">
        <v>147</v>
      </c>
      <c r="C15" s="322"/>
      <c r="D15" s="31" t="s">
        <v>209</v>
      </c>
      <c r="E15" s="112" t="s">
        <v>62</v>
      </c>
      <c r="F15" s="110" t="e">
        <f>#REF!</f>
        <v>#REF!</v>
      </c>
      <c r="G15" s="111">
        <f>'COMPOSIÇÕES - REFORMAS'!H28</f>
        <v>911.81999999999994</v>
      </c>
      <c r="H15" s="34">
        <f>G15*(1+$J$5)</f>
        <v>911.81999999999994</v>
      </c>
      <c r="I15" s="34" t="e">
        <f>F15*G15</f>
        <v>#REF!</v>
      </c>
      <c r="J15" s="34" t="e">
        <f>F15*H15</f>
        <v>#REF!</v>
      </c>
    </row>
    <row r="16" spans="1:13">
      <c r="A16" s="108" t="s">
        <v>210</v>
      </c>
      <c r="B16" s="30" t="s">
        <v>211</v>
      </c>
      <c r="C16" s="78" t="s">
        <v>29</v>
      </c>
      <c r="D16" s="31" t="s">
        <v>213</v>
      </c>
      <c r="E16" s="32" t="s">
        <v>19</v>
      </c>
      <c r="F16" s="33" t="e">
        <f>#REF!</f>
        <v>#REF!</v>
      </c>
      <c r="G16" s="34">
        <v>318.36</v>
      </c>
      <c r="H16" s="34">
        <f>G16*(1+$J$5)</f>
        <v>318.36</v>
      </c>
      <c r="I16" s="34" t="e">
        <f>F16*G16</f>
        <v>#REF!</v>
      </c>
      <c r="J16" s="34" t="e">
        <f>F16*H16</f>
        <v>#REF!</v>
      </c>
    </row>
    <row r="17" spans="1:13" ht="12.75" customHeight="1">
      <c r="A17" s="323" t="s">
        <v>93</v>
      </c>
      <c r="B17" s="324"/>
      <c r="C17" s="324"/>
      <c r="D17" s="324"/>
      <c r="E17" s="324"/>
      <c r="F17" s="324"/>
      <c r="G17" s="324"/>
      <c r="H17" s="324"/>
      <c r="I17" s="48" t="e">
        <f>SUM(I13:I16)</f>
        <v>#REF!</v>
      </c>
      <c r="J17" s="48" t="e">
        <f>SUM(J13:J16)</f>
        <v>#REF!</v>
      </c>
    </row>
    <row r="18" spans="1:13" s="1" customFormat="1" ht="12.75" customHeight="1">
      <c r="A18" s="43">
        <v>2</v>
      </c>
      <c r="B18" s="50"/>
      <c r="C18" s="51"/>
      <c r="D18" s="28" t="s">
        <v>107</v>
      </c>
      <c r="E18" s="52" t="s">
        <v>1</v>
      </c>
      <c r="F18" s="53"/>
      <c r="G18" s="54"/>
      <c r="H18" s="54"/>
      <c r="I18" s="29"/>
      <c r="J18" s="44"/>
    </row>
    <row r="19" spans="1:13" ht="24">
      <c r="A19" s="45" t="s">
        <v>35</v>
      </c>
      <c r="B19" s="30" t="s">
        <v>106</v>
      </c>
      <c r="C19" s="78" t="s">
        <v>29</v>
      </c>
      <c r="D19" s="31" t="s">
        <v>267</v>
      </c>
      <c r="E19" s="32" t="s">
        <v>18</v>
      </c>
      <c r="F19" s="33" t="e">
        <f>#REF!</f>
        <v>#REF!</v>
      </c>
      <c r="G19" s="34">
        <v>74.31</v>
      </c>
      <c r="H19" s="34">
        <f t="shared" ref="H19:H25" si="0">G19*(1+$I$5)</f>
        <v>91.310153194132553</v>
      </c>
      <c r="I19" s="34" t="e">
        <f t="shared" ref="I19:I25" si="1">F19*G19</f>
        <v>#REF!</v>
      </c>
      <c r="J19" s="46" t="e">
        <f t="shared" ref="J19:J25" si="2">F19*H19</f>
        <v>#REF!</v>
      </c>
      <c r="L19" s="9"/>
      <c r="M19" s="8"/>
    </row>
    <row r="20" spans="1:13">
      <c r="A20" s="45" t="s">
        <v>36</v>
      </c>
      <c r="B20" s="321" t="s">
        <v>139</v>
      </c>
      <c r="C20" s="322"/>
      <c r="D20" s="31" t="s">
        <v>61</v>
      </c>
      <c r="E20" s="32" t="s">
        <v>19</v>
      </c>
      <c r="F20" s="33" t="e">
        <f>#REF!</f>
        <v>#REF!</v>
      </c>
      <c r="G20" s="34">
        <f>'COMPOSIÇÕES - REFORMAS'!H47</f>
        <v>1217.0472724444444</v>
      </c>
      <c r="H20" s="34">
        <f t="shared" si="0"/>
        <v>1495.4753450599301</v>
      </c>
      <c r="I20" s="34" t="e">
        <f t="shared" si="1"/>
        <v>#REF!</v>
      </c>
      <c r="J20" s="46" t="e">
        <f t="shared" si="2"/>
        <v>#REF!</v>
      </c>
      <c r="L20" s="9"/>
      <c r="M20" s="8"/>
    </row>
    <row r="21" spans="1:13" ht="24">
      <c r="A21" s="45" t="s">
        <v>113</v>
      </c>
      <c r="B21" s="30">
        <v>85406</v>
      </c>
      <c r="C21" s="78" t="s">
        <v>29</v>
      </c>
      <c r="D21" s="31" t="s">
        <v>131</v>
      </c>
      <c r="E21" s="32" t="s">
        <v>19</v>
      </c>
      <c r="F21" s="33" t="e">
        <f>#REF!</f>
        <v>#REF!</v>
      </c>
      <c r="G21" s="34">
        <v>37.15</v>
      </c>
      <c r="H21" s="34">
        <f t="shared" si="0"/>
        <v>45.648932729942459</v>
      </c>
      <c r="I21" s="34" t="e">
        <f t="shared" si="1"/>
        <v>#REF!</v>
      </c>
      <c r="J21" s="46" t="e">
        <f t="shared" si="2"/>
        <v>#REF!</v>
      </c>
      <c r="L21" s="9"/>
      <c r="M21" s="8"/>
    </row>
    <row r="22" spans="1:13" ht="24">
      <c r="A22" s="45" t="s">
        <v>114</v>
      </c>
      <c r="B22" s="30">
        <v>72897</v>
      </c>
      <c r="C22" s="78" t="s">
        <v>29</v>
      </c>
      <c r="D22" s="31" t="s">
        <v>133</v>
      </c>
      <c r="E22" s="32" t="s">
        <v>18</v>
      </c>
      <c r="F22" s="33" t="e">
        <f>#REF!</f>
        <v>#REF!</v>
      </c>
      <c r="G22" s="34">
        <v>17.55</v>
      </c>
      <c r="H22" s="34">
        <f t="shared" si="0"/>
        <v>21.564973604589241</v>
      </c>
      <c r="I22" s="34" t="e">
        <f t="shared" si="1"/>
        <v>#REF!</v>
      </c>
      <c r="J22" s="46" t="e">
        <f t="shared" si="2"/>
        <v>#REF!</v>
      </c>
      <c r="L22" s="9"/>
      <c r="M22" s="8"/>
    </row>
    <row r="23" spans="1:13" ht="24">
      <c r="A23" s="45" t="s">
        <v>115</v>
      </c>
      <c r="B23" s="30">
        <v>72900</v>
      </c>
      <c r="C23" s="78" t="s">
        <v>29</v>
      </c>
      <c r="D23" s="31" t="s">
        <v>134</v>
      </c>
      <c r="E23" s="32" t="s">
        <v>18</v>
      </c>
      <c r="F23" s="33" t="e">
        <f>#REF!</f>
        <v>#REF!</v>
      </c>
      <c r="G23" s="34">
        <v>4.84</v>
      </c>
      <c r="H23" s="34">
        <f t="shared" si="0"/>
        <v>5.9472633758525308</v>
      </c>
      <c r="I23" s="34" t="e">
        <f t="shared" si="1"/>
        <v>#REF!</v>
      </c>
      <c r="J23" s="46" t="e">
        <f t="shared" si="2"/>
        <v>#REF!</v>
      </c>
      <c r="L23" s="9"/>
      <c r="M23" s="8"/>
    </row>
    <row r="24" spans="1:13" ht="24">
      <c r="A24" s="45" t="s">
        <v>116</v>
      </c>
      <c r="B24" s="30">
        <v>85333</v>
      </c>
      <c r="C24" s="78" t="s">
        <v>29</v>
      </c>
      <c r="D24" s="31" t="s">
        <v>132</v>
      </c>
      <c r="E24" s="32" t="s">
        <v>62</v>
      </c>
      <c r="F24" s="33" t="e">
        <f>#REF!</f>
        <v>#REF!</v>
      </c>
      <c r="G24" s="34">
        <v>16.5</v>
      </c>
      <c r="H24" s="34">
        <f t="shared" si="0"/>
        <v>20.274761508588174</v>
      </c>
      <c r="I24" s="34" t="e">
        <f t="shared" si="1"/>
        <v>#REF!</v>
      </c>
      <c r="J24" s="46" t="e">
        <f t="shared" si="2"/>
        <v>#REF!</v>
      </c>
      <c r="L24" s="9"/>
      <c r="M24" s="8"/>
    </row>
    <row r="25" spans="1:13" ht="24">
      <c r="A25" s="45" t="s">
        <v>117</v>
      </c>
      <c r="B25" s="30">
        <v>31</v>
      </c>
      <c r="C25" s="78" t="s">
        <v>30</v>
      </c>
      <c r="D25" s="31" t="s">
        <v>266</v>
      </c>
      <c r="E25" s="32" t="s">
        <v>19</v>
      </c>
      <c r="F25" s="33" t="e">
        <f>#REF!</f>
        <v>#REF!</v>
      </c>
      <c r="G25" s="34">
        <v>10.41</v>
      </c>
      <c r="H25" s="34">
        <f t="shared" si="0"/>
        <v>12.791531351781993</v>
      </c>
      <c r="I25" s="34" t="e">
        <f t="shared" si="1"/>
        <v>#REF!</v>
      </c>
      <c r="J25" s="46" t="e">
        <f t="shared" si="2"/>
        <v>#REF!</v>
      </c>
      <c r="L25" s="9"/>
      <c r="M25" s="8"/>
    </row>
    <row r="26" spans="1:13">
      <c r="A26" s="323" t="s">
        <v>104</v>
      </c>
      <c r="B26" s="324"/>
      <c r="C26" s="324"/>
      <c r="D26" s="324"/>
      <c r="E26" s="324"/>
      <c r="F26" s="324"/>
      <c r="G26" s="324"/>
      <c r="H26" s="324"/>
      <c r="I26" s="48" t="e">
        <f>SUM(I19:I25)</f>
        <v>#REF!</v>
      </c>
      <c r="J26" s="48" t="e">
        <f>SUM(J19:J25)</f>
        <v>#REF!</v>
      </c>
      <c r="L26" s="9"/>
      <c r="M26" s="8"/>
    </row>
    <row r="27" spans="1:13">
      <c r="A27" s="43">
        <v>3</v>
      </c>
      <c r="B27" s="35"/>
      <c r="C27" s="27"/>
      <c r="D27" s="28" t="s">
        <v>4</v>
      </c>
      <c r="E27" s="36" t="s">
        <v>1</v>
      </c>
      <c r="F27" s="37"/>
      <c r="G27" s="38"/>
      <c r="H27" s="38"/>
      <c r="I27" s="29"/>
      <c r="J27" s="44"/>
      <c r="L27" s="9"/>
      <c r="M27" s="8"/>
    </row>
    <row r="28" spans="1:13" ht="24">
      <c r="A28" s="45" t="s">
        <v>37</v>
      </c>
      <c r="B28" s="123">
        <v>93358</v>
      </c>
      <c r="C28" s="78" t="s">
        <v>29</v>
      </c>
      <c r="D28" s="31" t="s">
        <v>239</v>
      </c>
      <c r="E28" s="32" t="s">
        <v>18</v>
      </c>
      <c r="F28" s="33" t="e">
        <f>#REF!</f>
        <v>#REF!</v>
      </c>
      <c r="G28" s="34">
        <v>51.66</v>
      </c>
      <c r="H28" s="34">
        <f>G28*(1+$I$5)</f>
        <v>63.478435123252424</v>
      </c>
      <c r="I28" s="34" t="e">
        <f>F28*G28</f>
        <v>#REF!</v>
      </c>
      <c r="J28" s="46" t="e">
        <f>F28*H28</f>
        <v>#REF!</v>
      </c>
      <c r="L28" s="9"/>
      <c r="M28" s="8"/>
    </row>
    <row r="29" spans="1:13" ht="24">
      <c r="A29" s="45" t="s">
        <v>216</v>
      </c>
      <c r="B29" s="30">
        <v>77</v>
      </c>
      <c r="C29" s="78" t="s">
        <v>30</v>
      </c>
      <c r="D29" s="31" t="s">
        <v>240</v>
      </c>
      <c r="E29" s="32" t="s">
        <v>18</v>
      </c>
      <c r="F29" s="33" t="e">
        <f>#REF!</f>
        <v>#REF!</v>
      </c>
      <c r="G29" s="34">
        <v>35.31</v>
      </c>
      <c r="H29" s="34">
        <f>G29*(1+$I$5)</f>
        <v>43.387989628378698</v>
      </c>
      <c r="I29" s="34" t="e">
        <f>F29*G29</f>
        <v>#REF!</v>
      </c>
      <c r="J29" s="46" t="e">
        <f>F29*H29</f>
        <v>#REF!</v>
      </c>
      <c r="L29" s="9"/>
      <c r="M29" s="8"/>
    </row>
    <row r="30" spans="1:13">
      <c r="A30" s="323" t="s">
        <v>103</v>
      </c>
      <c r="B30" s="324"/>
      <c r="C30" s="324"/>
      <c r="D30" s="324"/>
      <c r="E30" s="324"/>
      <c r="F30" s="324"/>
      <c r="G30" s="324"/>
      <c r="H30" s="324"/>
      <c r="I30" s="48" t="e">
        <f>SUM(I28:I29)</f>
        <v>#REF!</v>
      </c>
      <c r="J30" s="48" t="e">
        <f>SUM(J28:J29)</f>
        <v>#REF!</v>
      </c>
      <c r="L30" s="9"/>
      <c r="M30" s="8"/>
    </row>
    <row r="31" spans="1:13">
      <c r="A31" s="43">
        <v>4</v>
      </c>
      <c r="B31" s="35"/>
      <c r="C31" s="27"/>
      <c r="D31" s="28" t="s">
        <v>17</v>
      </c>
      <c r="E31" s="36"/>
      <c r="F31" s="37"/>
      <c r="G31" s="38"/>
      <c r="H31" s="38"/>
      <c r="I31" s="29"/>
      <c r="J31" s="44"/>
      <c r="L31" s="9"/>
      <c r="M31" s="8"/>
    </row>
    <row r="32" spans="1:13" ht="24">
      <c r="A32" s="45" t="s">
        <v>75</v>
      </c>
      <c r="B32" s="30">
        <v>95474</v>
      </c>
      <c r="C32" s="78" t="s">
        <v>29</v>
      </c>
      <c r="D32" s="31" t="s">
        <v>172</v>
      </c>
      <c r="E32" s="32" t="s">
        <v>18</v>
      </c>
      <c r="F32" s="33" t="e">
        <f>#REF!</f>
        <v>#REF!</v>
      </c>
      <c r="G32" s="34">
        <v>334.17</v>
      </c>
      <c r="H32" s="34">
        <f>G32*(1+$I$5)</f>
        <v>410.61921535302486</v>
      </c>
      <c r="I32" s="34" t="e">
        <f>F32*G32</f>
        <v>#REF!</v>
      </c>
      <c r="J32" s="46" t="e">
        <f>F32*H32</f>
        <v>#REF!</v>
      </c>
      <c r="L32" s="9"/>
      <c r="M32" s="8"/>
    </row>
    <row r="33" spans="1:13" ht="36">
      <c r="A33" s="45" t="s">
        <v>76</v>
      </c>
      <c r="B33" s="30">
        <v>87503</v>
      </c>
      <c r="C33" s="78" t="s">
        <v>29</v>
      </c>
      <c r="D33" s="31" t="s">
        <v>241</v>
      </c>
      <c r="E33" s="32" t="s">
        <v>18</v>
      </c>
      <c r="F33" s="33" t="e">
        <f>#REF!</f>
        <v>#REF!</v>
      </c>
      <c r="G33" s="34">
        <v>48.67</v>
      </c>
      <c r="H33" s="34">
        <f>G33*(1+$I$5)</f>
        <v>59.804402583211299</v>
      </c>
      <c r="I33" s="34" t="e">
        <f>F33*G33</f>
        <v>#REF!</v>
      </c>
      <c r="J33" s="46" t="e">
        <f>F33*H33</f>
        <v>#REF!</v>
      </c>
      <c r="L33" s="9"/>
      <c r="M33" s="8"/>
    </row>
    <row r="34" spans="1:13">
      <c r="A34" s="45" t="s">
        <v>77</v>
      </c>
      <c r="B34" s="30">
        <v>83534</v>
      </c>
      <c r="C34" s="78" t="s">
        <v>29</v>
      </c>
      <c r="D34" s="31" t="s">
        <v>268</v>
      </c>
      <c r="E34" s="32" t="s">
        <v>18</v>
      </c>
      <c r="F34" s="33" t="e">
        <f>#REF!</f>
        <v>#REF!</v>
      </c>
      <c r="G34" s="34">
        <v>481.65</v>
      </c>
      <c r="H34" s="34">
        <f>G34*(1+$I$5)</f>
        <v>591.83872003706017</v>
      </c>
      <c r="I34" s="34" t="e">
        <f>F34*G34</f>
        <v>#REF!</v>
      </c>
      <c r="J34" s="46" t="e">
        <f>F34*H34</f>
        <v>#REF!</v>
      </c>
      <c r="L34" s="9"/>
      <c r="M34" s="8"/>
    </row>
    <row r="35" spans="1:13">
      <c r="A35" s="323" t="s">
        <v>102</v>
      </c>
      <c r="B35" s="324"/>
      <c r="C35" s="324"/>
      <c r="D35" s="324"/>
      <c r="E35" s="324"/>
      <c r="F35" s="324"/>
      <c r="G35" s="324"/>
      <c r="H35" s="324"/>
      <c r="I35" s="48" t="e">
        <f>SUM(I32:I34)</f>
        <v>#REF!</v>
      </c>
      <c r="J35" s="48" t="e">
        <f>SUM(J32:J34)</f>
        <v>#REF!</v>
      </c>
      <c r="L35" s="9"/>
      <c r="M35" s="8"/>
    </row>
    <row r="36" spans="1:13">
      <c r="A36" s="43">
        <v>5</v>
      </c>
      <c r="B36" s="35"/>
      <c r="C36" s="27"/>
      <c r="D36" s="28" t="s">
        <v>57</v>
      </c>
      <c r="E36" s="36" t="s">
        <v>2</v>
      </c>
      <c r="F36" s="37"/>
      <c r="G36" s="38"/>
      <c r="H36" s="38"/>
      <c r="I36" s="29"/>
      <c r="J36" s="44"/>
      <c r="L36" s="8"/>
    </row>
    <row r="37" spans="1:13" ht="24">
      <c r="A37" s="45" t="s">
        <v>38</v>
      </c>
      <c r="B37" s="30">
        <v>93182</v>
      </c>
      <c r="C37" s="78" t="s">
        <v>29</v>
      </c>
      <c r="D37" s="31" t="s">
        <v>173</v>
      </c>
      <c r="E37" s="32" t="s">
        <v>16</v>
      </c>
      <c r="F37" s="33" t="e">
        <f>#REF!</f>
        <v>#REF!</v>
      </c>
      <c r="G37" s="34">
        <v>22.64</v>
      </c>
      <c r="H37" s="34">
        <f>G37*(1+$I$5)</f>
        <v>27.8194303366325</v>
      </c>
      <c r="I37" s="34" t="e">
        <f>F37*G37</f>
        <v>#REF!</v>
      </c>
      <c r="J37" s="46" t="e">
        <f>F37*H37</f>
        <v>#REF!</v>
      </c>
      <c r="L37" s="56"/>
    </row>
    <row r="38" spans="1:13" ht="24">
      <c r="A38" s="45" t="s">
        <v>78</v>
      </c>
      <c r="B38" s="30">
        <v>93183</v>
      </c>
      <c r="C38" s="78" t="s">
        <v>29</v>
      </c>
      <c r="D38" s="31" t="s">
        <v>174</v>
      </c>
      <c r="E38" s="32" t="s">
        <v>16</v>
      </c>
      <c r="F38" s="33" t="e">
        <f>#REF!</f>
        <v>#REF!</v>
      </c>
      <c r="G38" s="34">
        <v>28.91</v>
      </c>
      <c r="H38" s="34">
        <f>G38*(1+$I$5)</f>
        <v>35.523839709896009</v>
      </c>
      <c r="I38" s="34" t="e">
        <f>F38*G38</f>
        <v>#REF!</v>
      </c>
      <c r="J38" s="46" t="e">
        <f>F38*H38</f>
        <v>#REF!</v>
      </c>
      <c r="L38" s="56"/>
    </row>
    <row r="39" spans="1:13" ht="24">
      <c r="A39" s="45" t="s">
        <v>79</v>
      </c>
      <c r="B39" s="30">
        <v>93184</v>
      </c>
      <c r="C39" s="78" t="s">
        <v>29</v>
      </c>
      <c r="D39" s="31" t="s">
        <v>175</v>
      </c>
      <c r="E39" s="32" t="s">
        <v>16</v>
      </c>
      <c r="F39" s="33" t="e">
        <f>#REF!</f>
        <v>#REF!</v>
      </c>
      <c r="G39" s="34">
        <v>17.16</v>
      </c>
      <c r="H39" s="34">
        <f>G39*(1+$I$5)</f>
        <v>21.085751968931699</v>
      </c>
      <c r="I39" s="34" t="e">
        <f>F39*G39</f>
        <v>#REF!</v>
      </c>
      <c r="J39" s="46" t="e">
        <f>F39*H39</f>
        <v>#REF!</v>
      </c>
      <c r="L39" s="56"/>
    </row>
    <row r="40" spans="1:13" ht="24">
      <c r="A40" s="45" t="s">
        <v>153</v>
      </c>
      <c r="B40" s="30">
        <v>93185</v>
      </c>
      <c r="C40" s="78" t="s">
        <v>29</v>
      </c>
      <c r="D40" s="31" t="s">
        <v>176</v>
      </c>
      <c r="E40" s="32" t="s">
        <v>16</v>
      </c>
      <c r="F40" s="33" t="e">
        <f>#REF!</f>
        <v>#REF!</v>
      </c>
      <c r="G40" s="34">
        <v>28.47</v>
      </c>
      <c r="H40" s="34">
        <f>G40*(1+$I$5)</f>
        <v>34.983179403000321</v>
      </c>
      <c r="I40" s="34" t="e">
        <f>F40*G40</f>
        <v>#REF!</v>
      </c>
      <c r="J40" s="46" t="e">
        <f>F40*H40</f>
        <v>#REF!</v>
      </c>
      <c r="L40" s="56"/>
    </row>
    <row r="41" spans="1:13">
      <c r="A41" s="323" t="s">
        <v>101</v>
      </c>
      <c r="B41" s="324"/>
      <c r="C41" s="324"/>
      <c r="D41" s="324"/>
      <c r="E41" s="324"/>
      <c r="F41" s="324"/>
      <c r="G41" s="324"/>
      <c r="H41" s="324"/>
      <c r="I41" s="48" t="e">
        <f>SUM(I37:I40)</f>
        <v>#REF!</v>
      </c>
      <c r="J41" s="48" t="e">
        <f>SUM(J37:J40)</f>
        <v>#REF!</v>
      </c>
    </row>
    <row r="42" spans="1:13">
      <c r="A42" s="43">
        <v>6</v>
      </c>
      <c r="B42" s="35"/>
      <c r="C42" s="27"/>
      <c r="D42" s="28" t="s">
        <v>64</v>
      </c>
      <c r="E42" s="36"/>
      <c r="F42" s="37"/>
      <c r="G42" s="38"/>
      <c r="H42" s="38"/>
      <c r="I42" s="29"/>
      <c r="J42" s="44"/>
      <c r="L42" s="8"/>
    </row>
    <row r="43" spans="1:13" ht="36">
      <c r="A43" s="45" t="s">
        <v>39</v>
      </c>
      <c r="B43" s="30">
        <v>87520</v>
      </c>
      <c r="C43" s="78" t="s">
        <v>29</v>
      </c>
      <c r="D43" s="31" t="s">
        <v>242</v>
      </c>
      <c r="E43" s="32" t="s">
        <v>19</v>
      </c>
      <c r="F43" s="33" t="e">
        <f>#REF!</f>
        <v>#REF!</v>
      </c>
      <c r="G43" s="34">
        <v>53.69</v>
      </c>
      <c r="H43" s="34">
        <f>G43*(1+$I$5)</f>
        <v>65.972845175521158</v>
      </c>
      <c r="I43" s="34" t="e">
        <f>F43*G43</f>
        <v>#REF!</v>
      </c>
      <c r="J43" s="46" t="e">
        <f>F43*H43</f>
        <v>#REF!</v>
      </c>
    </row>
    <row r="44" spans="1:13">
      <c r="A44" s="45" t="s">
        <v>40</v>
      </c>
      <c r="B44" s="30">
        <v>10759</v>
      </c>
      <c r="C44" s="78" t="s">
        <v>30</v>
      </c>
      <c r="D44" s="31" t="s">
        <v>177</v>
      </c>
      <c r="E44" s="32" t="s">
        <v>19</v>
      </c>
      <c r="F44" s="33">
        <f>3.55+3.1+1.05+2.52</f>
        <v>10.220000000000001</v>
      </c>
      <c r="G44" s="34">
        <v>211.97</v>
      </c>
      <c r="H44" s="34">
        <f>G44*(1+$I$5)</f>
        <v>260.46310284699609</v>
      </c>
      <c r="I44" s="34">
        <f>F44*G44</f>
        <v>2166.3334</v>
      </c>
      <c r="J44" s="46">
        <f>F44*H44</f>
        <v>2661.9329110963004</v>
      </c>
    </row>
    <row r="45" spans="1:13">
      <c r="A45" s="323" t="s">
        <v>100</v>
      </c>
      <c r="B45" s="324"/>
      <c r="C45" s="324"/>
      <c r="D45" s="324"/>
      <c r="E45" s="324"/>
      <c r="F45" s="324"/>
      <c r="G45" s="324"/>
      <c r="H45" s="324"/>
      <c r="I45" s="48" t="e">
        <f>SUM(I43:I44)</f>
        <v>#REF!</v>
      </c>
      <c r="J45" s="48" t="e">
        <f>SUM(J43:J44)</f>
        <v>#REF!</v>
      </c>
    </row>
    <row r="46" spans="1:13">
      <c r="A46" s="43">
        <v>7</v>
      </c>
      <c r="B46" s="35"/>
      <c r="C46" s="27"/>
      <c r="D46" s="28" t="s">
        <v>7</v>
      </c>
      <c r="E46" s="36"/>
      <c r="F46" s="37"/>
      <c r="G46" s="38"/>
      <c r="H46" s="38"/>
      <c r="I46" s="29"/>
      <c r="J46" s="44"/>
      <c r="L46" s="8"/>
    </row>
    <row r="47" spans="1:13" ht="24">
      <c r="A47" s="45" t="s">
        <v>41</v>
      </c>
      <c r="B47" s="30">
        <v>92565</v>
      </c>
      <c r="C47" s="78" t="s">
        <v>29</v>
      </c>
      <c r="D47" s="31" t="s">
        <v>243</v>
      </c>
      <c r="E47" s="32" t="s">
        <v>19</v>
      </c>
      <c r="F47" s="33" t="e">
        <f>#REF!</f>
        <v>#REF!</v>
      </c>
      <c r="G47" s="34">
        <v>23.52</v>
      </c>
      <c r="H47" s="34">
        <f>G47*(1+$I$5)</f>
        <v>28.90075095042387</v>
      </c>
      <c r="I47" s="34" t="e">
        <f>F47*G47</f>
        <v>#REF!</v>
      </c>
      <c r="J47" s="46" t="e">
        <f>F47*H47</f>
        <v>#REF!</v>
      </c>
      <c r="L47" s="8" t="e">
        <f>J47/$J$50</f>
        <v>#REF!</v>
      </c>
    </row>
    <row r="48" spans="1:13" ht="24">
      <c r="A48" s="45" t="s">
        <v>42</v>
      </c>
      <c r="B48" s="30">
        <v>94442</v>
      </c>
      <c r="C48" s="78" t="s">
        <v>29</v>
      </c>
      <c r="D48" s="31" t="s">
        <v>155</v>
      </c>
      <c r="E48" s="32" t="s">
        <v>19</v>
      </c>
      <c r="F48" s="33" t="e">
        <f>#REF!</f>
        <v>#REF!</v>
      </c>
      <c r="G48" s="34">
        <v>14.83</v>
      </c>
      <c r="H48" s="34">
        <f>G48*(1+$I$5)</f>
        <v>18.2227098892341</v>
      </c>
      <c r="I48" s="34" t="e">
        <f>F48*G48</f>
        <v>#REF!</v>
      </c>
      <c r="J48" s="46" t="e">
        <f>F48*H48</f>
        <v>#REF!</v>
      </c>
      <c r="L48" s="8" t="e">
        <f>J48/$J$50</f>
        <v>#REF!</v>
      </c>
    </row>
    <row r="49" spans="1:12">
      <c r="A49" s="45" t="s">
        <v>43</v>
      </c>
      <c r="B49" s="30">
        <v>7703</v>
      </c>
      <c r="C49" s="78" t="s">
        <v>30</v>
      </c>
      <c r="D49" s="31" t="s">
        <v>73</v>
      </c>
      <c r="E49" s="32" t="s">
        <v>19</v>
      </c>
      <c r="F49" s="33" t="e">
        <f>#REF!</f>
        <v>#REF!</v>
      </c>
      <c r="G49" s="34">
        <v>46.35</v>
      </c>
      <c r="H49" s="34">
        <f>G49*(1+$I$5)</f>
        <v>56.953648237761328</v>
      </c>
      <c r="I49" s="34" t="e">
        <f>F49*G49</f>
        <v>#REF!</v>
      </c>
      <c r="J49" s="46" t="e">
        <f>F49*H49</f>
        <v>#REF!</v>
      </c>
      <c r="L49" s="8" t="e">
        <f>J49/$J$50</f>
        <v>#REF!</v>
      </c>
    </row>
    <row r="50" spans="1:12">
      <c r="A50" s="323" t="s">
        <v>99</v>
      </c>
      <c r="B50" s="324"/>
      <c r="C50" s="324"/>
      <c r="D50" s="324"/>
      <c r="E50" s="324"/>
      <c r="F50" s="324"/>
      <c r="G50" s="324"/>
      <c r="H50" s="324"/>
      <c r="I50" s="48" t="e">
        <f>SUM(I47:I49)</f>
        <v>#REF!</v>
      </c>
      <c r="J50" s="48" t="e">
        <f>SUM(J47:J49)</f>
        <v>#REF!</v>
      </c>
    </row>
    <row r="51" spans="1:12">
      <c r="A51" s="43">
        <v>8</v>
      </c>
      <c r="B51" s="35"/>
      <c r="C51" s="27"/>
      <c r="D51" s="28" t="s">
        <v>8</v>
      </c>
      <c r="E51" s="36"/>
      <c r="F51" s="37"/>
      <c r="G51" s="38"/>
      <c r="H51" s="38"/>
      <c r="I51" s="29"/>
      <c r="J51" s="44"/>
    </row>
    <row r="52" spans="1:12" ht="36">
      <c r="A52" s="45" t="s">
        <v>44</v>
      </c>
      <c r="B52" s="30">
        <v>91338</v>
      </c>
      <c r="C52" s="78" t="s">
        <v>29</v>
      </c>
      <c r="D52" s="31" t="s">
        <v>272</v>
      </c>
      <c r="E52" s="32" t="s">
        <v>19</v>
      </c>
      <c r="F52" s="33" t="e">
        <f>#REF!</f>
        <v>#REF!</v>
      </c>
      <c r="G52" s="34">
        <v>642.16999999999996</v>
      </c>
      <c r="H52" s="34">
        <f t="shared" ref="H52:H69" si="3">G52*(1+$I$5)</f>
        <v>789.08143018000408</v>
      </c>
      <c r="I52" s="34" t="e">
        <f t="shared" ref="I52:I69" si="4">F52*G52</f>
        <v>#REF!</v>
      </c>
      <c r="J52" s="46" t="e">
        <f t="shared" ref="J52:J69" si="5">F52*H52</f>
        <v>#REF!</v>
      </c>
      <c r="L52" s="76"/>
    </row>
    <row r="53" spans="1:12" ht="36">
      <c r="A53" s="45" t="s">
        <v>287</v>
      </c>
      <c r="B53" s="30">
        <v>90844</v>
      </c>
      <c r="C53" s="78" t="s">
        <v>29</v>
      </c>
      <c r="D53" s="31" t="s">
        <v>271</v>
      </c>
      <c r="E53" s="32" t="s">
        <v>19</v>
      </c>
      <c r="F53" s="33" t="e">
        <f>#REF!</f>
        <v>#REF!</v>
      </c>
      <c r="G53" s="34">
        <v>613.41</v>
      </c>
      <c r="H53" s="34">
        <f t="shared" si="3"/>
        <v>753.7419064838225</v>
      </c>
      <c r="I53" s="34" t="e">
        <f t="shared" si="4"/>
        <v>#REF!</v>
      </c>
      <c r="J53" s="46" t="e">
        <f t="shared" si="5"/>
        <v>#REF!</v>
      </c>
      <c r="L53" s="76"/>
    </row>
    <row r="54" spans="1:12" ht="36">
      <c r="A54" s="45" t="s">
        <v>288</v>
      </c>
      <c r="B54" s="123">
        <v>90843</v>
      </c>
      <c r="C54" s="78" t="s">
        <v>29</v>
      </c>
      <c r="D54" s="31" t="s">
        <v>270</v>
      </c>
      <c r="E54" s="32" t="s">
        <v>19</v>
      </c>
      <c r="F54" s="33" t="e">
        <f>#REF!</f>
        <v>#REF!</v>
      </c>
      <c r="G54" s="34">
        <v>588.21</v>
      </c>
      <c r="H54" s="34">
        <f t="shared" si="3"/>
        <v>722.77681617979704</v>
      </c>
      <c r="I54" s="34" t="e">
        <f t="shared" si="4"/>
        <v>#REF!</v>
      </c>
      <c r="J54" s="46" t="e">
        <f t="shared" si="5"/>
        <v>#REF!</v>
      </c>
      <c r="L54" s="76"/>
    </row>
    <row r="55" spans="1:12" ht="36">
      <c r="A55" s="45" t="s">
        <v>289</v>
      </c>
      <c r="B55" s="30">
        <v>91338</v>
      </c>
      <c r="C55" s="78" t="s">
        <v>29</v>
      </c>
      <c r="D55" s="31" t="s">
        <v>273</v>
      </c>
      <c r="E55" s="32" t="s">
        <v>19</v>
      </c>
      <c r="F55" s="33" t="e">
        <f>#REF!</f>
        <v>#REF!</v>
      </c>
      <c r="G55" s="34">
        <v>642.16999999999996</v>
      </c>
      <c r="H55" s="34">
        <f t="shared" si="3"/>
        <v>789.08143018000408</v>
      </c>
      <c r="I55" s="34" t="e">
        <f t="shared" si="4"/>
        <v>#REF!</v>
      </c>
      <c r="J55" s="46" t="e">
        <f t="shared" si="5"/>
        <v>#REF!</v>
      </c>
      <c r="L55" s="76"/>
    </row>
    <row r="56" spans="1:12" ht="36">
      <c r="A56" s="45" t="s">
        <v>290</v>
      </c>
      <c r="B56" s="30">
        <v>91338</v>
      </c>
      <c r="C56" s="78" t="s">
        <v>29</v>
      </c>
      <c r="D56" s="31" t="s">
        <v>274</v>
      </c>
      <c r="E56" s="32" t="s">
        <v>19</v>
      </c>
      <c r="F56" s="33" t="e">
        <f>#REF!</f>
        <v>#REF!</v>
      </c>
      <c r="G56" s="34">
        <v>642.16999999999996</v>
      </c>
      <c r="H56" s="34">
        <f t="shared" si="3"/>
        <v>789.08143018000408</v>
      </c>
      <c r="I56" s="34" t="e">
        <f t="shared" si="4"/>
        <v>#REF!</v>
      </c>
      <c r="J56" s="46" t="e">
        <f t="shared" si="5"/>
        <v>#REF!</v>
      </c>
      <c r="L56" s="76"/>
    </row>
    <row r="57" spans="1:12" ht="36">
      <c r="A57" s="45" t="s">
        <v>291</v>
      </c>
      <c r="B57" s="30">
        <v>91338</v>
      </c>
      <c r="C57" s="78" t="s">
        <v>29</v>
      </c>
      <c r="D57" s="31" t="s">
        <v>269</v>
      </c>
      <c r="E57" s="32" t="s">
        <v>19</v>
      </c>
      <c r="F57" s="33" t="e">
        <f>#REF!</f>
        <v>#REF!</v>
      </c>
      <c r="G57" s="34">
        <v>642.16999999999996</v>
      </c>
      <c r="H57" s="34">
        <f t="shared" si="3"/>
        <v>789.08143018000408</v>
      </c>
      <c r="I57" s="34" t="e">
        <f t="shared" si="4"/>
        <v>#REF!</v>
      </c>
      <c r="J57" s="46" t="e">
        <f t="shared" si="5"/>
        <v>#REF!</v>
      </c>
      <c r="L57" s="76"/>
    </row>
    <row r="58" spans="1:12" ht="36">
      <c r="A58" s="45" t="s">
        <v>292</v>
      </c>
      <c r="B58" s="123">
        <v>90843</v>
      </c>
      <c r="C58" s="78" t="s">
        <v>29</v>
      </c>
      <c r="D58" s="31" t="s">
        <v>270</v>
      </c>
      <c r="E58" s="32" t="s">
        <v>19</v>
      </c>
      <c r="F58" s="33" t="e">
        <f>#REF!</f>
        <v>#REF!</v>
      </c>
      <c r="G58" s="34">
        <v>588.21</v>
      </c>
      <c r="H58" s="34">
        <f t="shared" si="3"/>
        <v>722.77681617979704</v>
      </c>
      <c r="I58" s="34" t="e">
        <f t="shared" si="4"/>
        <v>#REF!</v>
      </c>
      <c r="J58" s="46" t="e">
        <f t="shared" si="5"/>
        <v>#REF!</v>
      </c>
      <c r="L58" s="76"/>
    </row>
    <row r="59" spans="1:12" ht="48">
      <c r="A59" s="45" t="s">
        <v>293</v>
      </c>
      <c r="B59" s="30">
        <v>94582</v>
      </c>
      <c r="C59" s="78" t="s">
        <v>29</v>
      </c>
      <c r="D59" s="31" t="s">
        <v>275</v>
      </c>
      <c r="E59" s="32" t="s">
        <v>19</v>
      </c>
      <c r="F59" s="33" t="e">
        <f>#REF!</f>
        <v>#REF!</v>
      </c>
      <c r="G59" s="34">
        <v>450.09</v>
      </c>
      <c r="H59" s="34">
        <f>G59*(1+$I$5)</f>
        <v>553.05863075154241</v>
      </c>
      <c r="I59" s="34" t="e">
        <f>F59*G59</f>
        <v>#REF!</v>
      </c>
      <c r="J59" s="46" t="e">
        <f>F59*H59</f>
        <v>#REF!</v>
      </c>
      <c r="L59" s="8"/>
    </row>
    <row r="60" spans="1:12" ht="48">
      <c r="A60" s="45" t="s">
        <v>294</v>
      </c>
      <c r="B60" s="30">
        <v>94582</v>
      </c>
      <c r="C60" s="78" t="s">
        <v>29</v>
      </c>
      <c r="D60" s="31" t="s">
        <v>276</v>
      </c>
      <c r="E60" s="32" t="s">
        <v>19</v>
      </c>
      <c r="F60" s="33" t="e">
        <f>#REF!</f>
        <v>#REF!</v>
      </c>
      <c r="G60" s="34">
        <v>450.09</v>
      </c>
      <c r="H60" s="34">
        <f>G60*(1+$I$5)</f>
        <v>553.05863075154241</v>
      </c>
      <c r="I60" s="34" t="e">
        <f>F60*G60</f>
        <v>#REF!</v>
      </c>
      <c r="J60" s="46" t="e">
        <f>F60*H60</f>
        <v>#REF!</v>
      </c>
      <c r="L60" s="8"/>
    </row>
    <row r="61" spans="1:12" ht="48">
      <c r="A61" s="45" t="s">
        <v>295</v>
      </c>
      <c r="B61" s="30">
        <v>94582</v>
      </c>
      <c r="C61" s="78" t="s">
        <v>29</v>
      </c>
      <c r="D61" s="31" t="s">
        <v>277</v>
      </c>
      <c r="E61" s="32" t="s">
        <v>19</v>
      </c>
      <c r="F61" s="33" t="e">
        <f>#REF!</f>
        <v>#REF!</v>
      </c>
      <c r="G61" s="34">
        <v>450.09</v>
      </c>
      <c r="H61" s="34">
        <f t="shared" si="3"/>
        <v>553.05863075154241</v>
      </c>
      <c r="I61" s="34" t="e">
        <f t="shared" si="4"/>
        <v>#REF!</v>
      </c>
      <c r="J61" s="46" t="e">
        <f t="shared" si="5"/>
        <v>#REF!</v>
      </c>
      <c r="L61" s="8"/>
    </row>
    <row r="62" spans="1:12" ht="48">
      <c r="A62" s="45" t="s">
        <v>296</v>
      </c>
      <c r="B62" s="30">
        <v>94582</v>
      </c>
      <c r="C62" s="78" t="s">
        <v>29</v>
      </c>
      <c r="D62" s="31" t="s">
        <v>278</v>
      </c>
      <c r="E62" s="32" t="s">
        <v>19</v>
      </c>
      <c r="F62" s="33" t="e">
        <f>#REF!</f>
        <v>#REF!</v>
      </c>
      <c r="G62" s="34">
        <v>450.09</v>
      </c>
      <c r="H62" s="34">
        <f t="shared" si="3"/>
        <v>553.05863075154241</v>
      </c>
      <c r="I62" s="34" t="e">
        <f t="shared" si="4"/>
        <v>#REF!</v>
      </c>
      <c r="J62" s="46" t="e">
        <f t="shared" si="5"/>
        <v>#REF!</v>
      </c>
      <c r="L62" s="8"/>
    </row>
    <row r="63" spans="1:12" ht="48">
      <c r="A63" s="45" t="s">
        <v>297</v>
      </c>
      <c r="B63" s="30">
        <v>94582</v>
      </c>
      <c r="C63" s="78" t="s">
        <v>29</v>
      </c>
      <c r="D63" s="31" t="s">
        <v>279</v>
      </c>
      <c r="E63" s="32" t="s">
        <v>19</v>
      </c>
      <c r="F63" s="33" t="e">
        <f>#REF!</f>
        <v>#REF!</v>
      </c>
      <c r="G63" s="34">
        <v>450.09</v>
      </c>
      <c r="H63" s="34">
        <f t="shared" si="3"/>
        <v>553.05863075154241</v>
      </c>
      <c r="I63" s="34" t="e">
        <f t="shared" si="4"/>
        <v>#REF!</v>
      </c>
      <c r="J63" s="46" t="e">
        <f t="shared" si="5"/>
        <v>#REF!</v>
      </c>
      <c r="L63" s="8"/>
    </row>
    <row r="64" spans="1:12" ht="48">
      <c r="A64" s="45" t="s">
        <v>298</v>
      </c>
      <c r="B64" s="30">
        <v>94582</v>
      </c>
      <c r="C64" s="78" t="s">
        <v>29</v>
      </c>
      <c r="D64" s="31" t="s">
        <v>280</v>
      </c>
      <c r="E64" s="32" t="s">
        <v>19</v>
      </c>
      <c r="F64" s="33" t="e">
        <f>#REF!</f>
        <v>#REF!</v>
      </c>
      <c r="G64" s="34">
        <v>450.09</v>
      </c>
      <c r="H64" s="34">
        <f t="shared" si="3"/>
        <v>553.05863075154241</v>
      </c>
      <c r="I64" s="34" t="e">
        <f t="shared" si="4"/>
        <v>#REF!</v>
      </c>
      <c r="J64" s="46" t="e">
        <f t="shared" si="5"/>
        <v>#REF!</v>
      </c>
      <c r="L64" s="8"/>
    </row>
    <row r="65" spans="1:14" ht="48">
      <c r="A65" s="45" t="s">
        <v>299</v>
      </c>
      <c r="B65" s="30">
        <v>94582</v>
      </c>
      <c r="C65" s="78" t="s">
        <v>29</v>
      </c>
      <c r="D65" s="31" t="s">
        <v>281</v>
      </c>
      <c r="E65" s="32" t="s">
        <v>19</v>
      </c>
      <c r="F65" s="122" t="e">
        <f>#REF!</f>
        <v>#REF!</v>
      </c>
      <c r="G65" s="34">
        <v>450.09</v>
      </c>
      <c r="H65" s="34">
        <f t="shared" si="3"/>
        <v>553.05863075154241</v>
      </c>
      <c r="I65" s="34" t="e">
        <f t="shared" si="4"/>
        <v>#REF!</v>
      </c>
      <c r="J65" s="46" t="e">
        <f t="shared" si="5"/>
        <v>#REF!</v>
      </c>
      <c r="L65" s="61"/>
      <c r="N65" s="77"/>
    </row>
    <row r="66" spans="1:14" ht="36">
      <c r="A66" s="45" t="s">
        <v>300</v>
      </c>
      <c r="B66" s="30">
        <v>94569</v>
      </c>
      <c r="C66" s="78" t="s">
        <v>29</v>
      </c>
      <c r="D66" s="31" t="s">
        <v>282</v>
      </c>
      <c r="E66" s="32" t="s">
        <v>19</v>
      </c>
      <c r="F66" s="122" t="e">
        <f>#REF!</f>
        <v>#REF!</v>
      </c>
      <c r="G66" s="34">
        <v>483.07</v>
      </c>
      <c r="H66" s="34">
        <f t="shared" si="3"/>
        <v>593.58357830022362</v>
      </c>
      <c r="I66" s="34" t="e">
        <f t="shared" si="4"/>
        <v>#REF!</v>
      </c>
      <c r="J66" s="46" t="e">
        <f t="shared" si="5"/>
        <v>#REF!</v>
      </c>
      <c r="L66" s="61"/>
      <c r="N66" s="77"/>
    </row>
    <row r="67" spans="1:14" ht="36">
      <c r="A67" s="45" t="s">
        <v>301</v>
      </c>
      <c r="B67" s="30">
        <v>94569</v>
      </c>
      <c r="C67" s="78" t="s">
        <v>29</v>
      </c>
      <c r="D67" s="31" t="s">
        <v>284</v>
      </c>
      <c r="E67" s="32" t="s">
        <v>19</v>
      </c>
      <c r="F67" s="122" t="e">
        <f>#REF!</f>
        <v>#REF!</v>
      </c>
      <c r="G67" s="34">
        <v>483.07</v>
      </c>
      <c r="H67" s="34">
        <f t="shared" si="3"/>
        <v>593.58357830022362</v>
      </c>
      <c r="I67" s="34" t="e">
        <f t="shared" si="4"/>
        <v>#REF!</v>
      </c>
      <c r="J67" s="46" t="e">
        <f t="shared" si="5"/>
        <v>#REF!</v>
      </c>
      <c r="L67" s="61"/>
      <c r="N67" s="77"/>
    </row>
    <row r="68" spans="1:14" ht="36">
      <c r="A68" s="45" t="s">
        <v>302</v>
      </c>
      <c r="B68" s="30">
        <v>94569</v>
      </c>
      <c r="C68" s="78" t="s">
        <v>29</v>
      </c>
      <c r="D68" s="31" t="s">
        <v>283</v>
      </c>
      <c r="E68" s="32" t="s">
        <v>19</v>
      </c>
      <c r="F68" s="122" t="e">
        <f>#REF!</f>
        <v>#REF!</v>
      </c>
      <c r="G68" s="34">
        <v>483.07</v>
      </c>
      <c r="H68" s="34">
        <f t="shared" si="3"/>
        <v>593.58357830022362</v>
      </c>
      <c r="I68" s="34" t="e">
        <f t="shared" si="4"/>
        <v>#REF!</v>
      </c>
      <c r="J68" s="46" t="e">
        <f t="shared" si="5"/>
        <v>#REF!</v>
      </c>
      <c r="L68" s="61"/>
      <c r="N68" s="77"/>
    </row>
    <row r="69" spans="1:14" ht="24">
      <c r="A69" s="45" t="s">
        <v>303</v>
      </c>
      <c r="B69" s="30" t="s">
        <v>136</v>
      </c>
      <c r="C69" s="78" t="s">
        <v>29</v>
      </c>
      <c r="D69" s="31" t="s">
        <v>135</v>
      </c>
      <c r="E69" s="32" t="s">
        <v>16</v>
      </c>
      <c r="F69" s="122" t="e">
        <f>#REF!</f>
        <v>#REF!</v>
      </c>
      <c r="G69" s="34">
        <v>71.34</v>
      </c>
      <c r="H69" s="34">
        <f t="shared" si="3"/>
        <v>87.660696122586685</v>
      </c>
      <c r="I69" s="34" t="e">
        <f t="shared" si="4"/>
        <v>#REF!</v>
      </c>
      <c r="J69" s="46" t="e">
        <f t="shared" si="5"/>
        <v>#REF!</v>
      </c>
      <c r="L69" s="61"/>
      <c r="N69" s="77"/>
    </row>
    <row r="70" spans="1:14">
      <c r="A70" s="323" t="s">
        <v>98</v>
      </c>
      <c r="B70" s="324"/>
      <c r="C70" s="324"/>
      <c r="D70" s="324"/>
      <c r="E70" s="324"/>
      <c r="F70" s="324"/>
      <c r="G70" s="324"/>
      <c r="H70" s="324"/>
      <c r="I70" s="48" t="e">
        <f>SUM(I52:I69)</f>
        <v>#REF!</v>
      </c>
      <c r="J70" s="48" t="e">
        <f>SUM(J52:J69)</f>
        <v>#REF!</v>
      </c>
    </row>
    <row r="71" spans="1:14">
      <c r="A71" s="43">
        <v>9</v>
      </c>
      <c r="B71" s="35"/>
      <c r="C71" s="27"/>
      <c r="D71" s="28" t="s">
        <v>6</v>
      </c>
      <c r="E71" s="36"/>
      <c r="F71" s="37"/>
      <c r="G71" s="38"/>
      <c r="H71" s="38"/>
      <c r="I71" s="29"/>
      <c r="J71" s="44"/>
    </row>
    <row r="72" spans="1:14">
      <c r="A72" s="45" t="s">
        <v>80</v>
      </c>
      <c r="B72" s="30">
        <v>87879</v>
      </c>
      <c r="C72" s="78" t="s">
        <v>29</v>
      </c>
      <c r="D72" s="31" t="s">
        <v>20</v>
      </c>
      <c r="E72" s="32" t="s">
        <v>19</v>
      </c>
      <c r="F72" s="33" t="e">
        <f>#REF!</f>
        <v>#REF!</v>
      </c>
      <c r="G72" s="34">
        <v>2.37</v>
      </c>
      <c r="H72" s="34">
        <f>G72*(1+$I$5)</f>
        <v>2.9121930166881196</v>
      </c>
      <c r="I72" s="34" t="e">
        <f>F72*G72</f>
        <v>#REF!</v>
      </c>
      <c r="J72" s="46" t="e">
        <f>F72*H72</f>
        <v>#REF!</v>
      </c>
      <c r="L72" s="8" t="e">
        <f>J72/$J$77</f>
        <v>#REF!</v>
      </c>
    </row>
    <row r="73" spans="1:14" ht="72">
      <c r="A73" s="45" t="s">
        <v>81</v>
      </c>
      <c r="B73" s="30">
        <v>87536</v>
      </c>
      <c r="C73" s="78" t="s">
        <v>29</v>
      </c>
      <c r="D73" s="31" t="s">
        <v>156</v>
      </c>
      <c r="E73" s="32" t="s">
        <v>19</v>
      </c>
      <c r="F73" s="33" t="e">
        <f>#REF!</f>
        <v>#REF!</v>
      </c>
      <c r="G73" s="34">
        <v>26.7</v>
      </c>
      <c r="H73" s="34">
        <f>G73*(1+$I$5)</f>
        <v>32.808250441169953</v>
      </c>
      <c r="I73" s="34" t="e">
        <f>F73*G73</f>
        <v>#REF!</v>
      </c>
      <c r="J73" s="46" t="e">
        <f>F73*H73</f>
        <v>#REF!</v>
      </c>
      <c r="L73" s="8"/>
    </row>
    <row r="74" spans="1:14" ht="60">
      <c r="A74" s="45" t="s">
        <v>321</v>
      </c>
      <c r="B74" s="30">
        <v>87530</v>
      </c>
      <c r="C74" s="78" t="s">
        <v>29</v>
      </c>
      <c r="D74" s="31" t="s">
        <v>157</v>
      </c>
      <c r="E74" s="32" t="s">
        <v>19</v>
      </c>
      <c r="F74" s="33" t="e">
        <f>#REF!</f>
        <v>#REF!</v>
      </c>
      <c r="G74" s="34">
        <v>31.15</v>
      </c>
      <c r="H74" s="34">
        <f>G74*(1+$I$5)</f>
        <v>38.276292181364944</v>
      </c>
      <c r="I74" s="34" t="e">
        <f>F74*G74</f>
        <v>#REF!</v>
      </c>
      <c r="J74" s="46" t="e">
        <f>F74*H74</f>
        <v>#REF!</v>
      </c>
      <c r="L74" s="8"/>
    </row>
    <row r="75" spans="1:14" ht="48">
      <c r="A75" s="45" t="s">
        <v>108</v>
      </c>
      <c r="B75" s="30">
        <v>87777</v>
      </c>
      <c r="C75" s="78" t="s">
        <v>29</v>
      </c>
      <c r="D75" s="31" t="s">
        <v>158</v>
      </c>
      <c r="E75" s="32" t="s">
        <v>19</v>
      </c>
      <c r="F75" s="33" t="e">
        <f>#REF!</f>
        <v>#REF!</v>
      </c>
      <c r="G75" s="34">
        <v>42.31</v>
      </c>
      <c r="H75" s="34">
        <f>G75*(1+$I$5)</f>
        <v>51.989403601719133</v>
      </c>
      <c r="I75" s="34" t="e">
        <f>F75*G75</f>
        <v>#REF!</v>
      </c>
      <c r="J75" s="46" t="e">
        <f>F75*H75</f>
        <v>#REF!</v>
      </c>
      <c r="L75" s="8"/>
    </row>
    <row r="76" spans="1:14" ht="24">
      <c r="A76" s="45" t="s">
        <v>137</v>
      </c>
      <c r="B76" s="30">
        <v>87265</v>
      </c>
      <c r="C76" s="78" t="s">
        <v>29</v>
      </c>
      <c r="D76" s="31" t="s">
        <v>285</v>
      </c>
      <c r="E76" s="32" t="s">
        <v>19</v>
      </c>
      <c r="F76" s="33" t="e">
        <f>#REF!</f>
        <v>#REF!</v>
      </c>
      <c r="G76" s="34">
        <v>34.340000000000003</v>
      </c>
      <c r="H76" s="34">
        <f>G76*(1+$I$5)</f>
        <v>42.196079406358663</v>
      </c>
      <c r="I76" s="34" t="e">
        <f>F76*G76</f>
        <v>#REF!</v>
      </c>
      <c r="J76" s="46" t="e">
        <f>F76*H76</f>
        <v>#REF!</v>
      </c>
      <c r="L76" s="8"/>
    </row>
    <row r="77" spans="1:14">
      <c r="A77" s="323" t="s">
        <v>98</v>
      </c>
      <c r="B77" s="324"/>
      <c r="C77" s="324"/>
      <c r="D77" s="324"/>
      <c r="E77" s="324"/>
      <c r="F77" s="324"/>
      <c r="G77" s="324"/>
      <c r="H77" s="324"/>
      <c r="I77" s="48" t="e">
        <f>SUM(I72:I76)</f>
        <v>#REF!</v>
      </c>
      <c r="J77" s="48" t="e">
        <f>SUM(J72:J76)</f>
        <v>#REF!</v>
      </c>
    </row>
    <row r="78" spans="1:14">
      <c r="A78" s="43">
        <v>10</v>
      </c>
      <c r="B78" s="35"/>
      <c r="C78" s="27"/>
      <c r="D78" s="28" t="s">
        <v>58</v>
      </c>
      <c r="E78" s="36"/>
      <c r="F78" s="37" t="s">
        <v>74</v>
      </c>
      <c r="G78" s="38"/>
      <c r="H78" s="38"/>
      <c r="I78" s="29"/>
      <c r="J78" s="44"/>
    </row>
    <row r="79" spans="1:14" ht="36">
      <c r="A79" s="45" t="s">
        <v>45</v>
      </c>
      <c r="B79" s="30">
        <v>83534</v>
      </c>
      <c r="C79" s="78" t="s">
        <v>29</v>
      </c>
      <c r="D79" s="31" t="s">
        <v>159</v>
      </c>
      <c r="E79" s="32" t="s">
        <v>18</v>
      </c>
      <c r="F79" s="33" t="e">
        <f>#REF!</f>
        <v>#REF!</v>
      </c>
      <c r="G79" s="34">
        <v>474.17</v>
      </c>
      <c r="H79" s="34">
        <f>G79*(1+$I$5)</f>
        <v>582.64749481983358</v>
      </c>
      <c r="I79" s="34" t="e">
        <f>F79*G79</f>
        <v>#REF!</v>
      </c>
      <c r="J79" s="46" t="e">
        <f>F79*H79</f>
        <v>#REF!</v>
      </c>
      <c r="L79" s="75">
        <f>L52</f>
        <v>0</v>
      </c>
    </row>
    <row r="80" spans="1:14" ht="36">
      <c r="A80" s="45" t="s">
        <v>46</v>
      </c>
      <c r="B80" s="30" t="s">
        <v>26</v>
      </c>
      <c r="C80" s="78" t="s">
        <v>29</v>
      </c>
      <c r="D80" s="31" t="s">
        <v>59</v>
      </c>
      <c r="E80" s="32" t="s">
        <v>19</v>
      </c>
      <c r="F80" s="33" t="e">
        <f>#REF!</f>
        <v>#REF!</v>
      </c>
      <c r="G80" s="34">
        <v>30.51</v>
      </c>
      <c r="H80" s="34">
        <f>G80*(1+$I$5)</f>
        <v>37.489877189516676</v>
      </c>
      <c r="I80" s="34" t="e">
        <f>F80*G80</f>
        <v>#REF!</v>
      </c>
      <c r="J80" s="46" t="e">
        <f>F80*H80</f>
        <v>#REF!</v>
      </c>
      <c r="L80" s="8" t="e">
        <f>J80/$J$82</f>
        <v>#REF!</v>
      </c>
    </row>
    <row r="81" spans="1:12" ht="36">
      <c r="A81" s="45" t="s">
        <v>82</v>
      </c>
      <c r="B81" s="30">
        <v>84191</v>
      </c>
      <c r="C81" s="78" t="s">
        <v>29</v>
      </c>
      <c r="D81" s="31" t="s">
        <v>60</v>
      </c>
      <c r="E81" s="32" t="s">
        <v>19</v>
      </c>
      <c r="F81" s="33" t="e">
        <f>#REF!</f>
        <v>#REF!</v>
      </c>
      <c r="G81" s="34">
        <v>103.64</v>
      </c>
      <c r="H81" s="34">
        <f>G81*(1+$I$5)</f>
        <v>127.35007774242899</v>
      </c>
      <c r="I81" s="34" t="e">
        <f>F81*G81</f>
        <v>#REF!</v>
      </c>
      <c r="J81" s="46" t="e">
        <f>F81*H81</f>
        <v>#REF!</v>
      </c>
      <c r="L81" s="8" t="e">
        <f>J81/$J$82</f>
        <v>#REF!</v>
      </c>
    </row>
    <row r="82" spans="1:12">
      <c r="A82" s="323" t="s">
        <v>97</v>
      </c>
      <c r="B82" s="324"/>
      <c r="C82" s="324"/>
      <c r="D82" s="324"/>
      <c r="E82" s="324"/>
      <c r="F82" s="324"/>
      <c r="G82" s="324"/>
      <c r="H82" s="324"/>
      <c r="I82" s="48" t="e">
        <f>SUM(I79:I81)</f>
        <v>#REF!</v>
      </c>
      <c r="J82" s="48" t="e">
        <f>SUM(J79:J81)</f>
        <v>#REF!</v>
      </c>
    </row>
    <row r="83" spans="1:12">
      <c r="A83" s="43">
        <v>11</v>
      </c>
      <c r="B83" s="35"/>
      <c r="C83" s="27"/>
      <c r="D83" s="28" t="s">
        <v>5</v>
      </c>
      <c r="E83" s="36"/>
      <c r="F83" s="37"/>
      <c r="G83" s="38"/>
      <c r="H83" s="38"/>
      <c r="I83" s="29"/>
      <c r="J83" s="44"/>
    </row>
    <row r="84" spans="1:12">
      <c r="A84" s="45" t="s">
        <v>47</v>
      </c>
      <c r="B84" s="121">
        <v>1200</v>
      </c>
      <c r="C84" s="78" t="s">
        <v>30</v>
      </c>
      <c r="D84" s="31" t="s">
        <v>249</v>
      </c>
      <c r="E84" s="32" t="s">
        <v>244</v>
      </c>
      <c r="F84" s="33" t="e">
        <f>#REF!</f>
        <v>#REF!</v>
      </c>
      <c r="G84" s="34">
        <v>77.25</v>
      </c>
      <c r="H84" s="34">
        <f t="shared" ref="H84:H99" si="6">G84*(1+$I$5)</f>
        <v>94.922747062935542</v>
      </c>
      <c r="I84" s="34" t="e">
        <f t="shared" ref="I84:I99" si="7">F84*G84</f>
        <v>#REF!</v>
      </c>
      <c r="J84" s="46" t="e">
        <f t="shared" ref="J84:J99" si="8">F84*H84</f>
        <v>#REF!</v>
      </c>
      <c r="L84" s="8" t="e">
        <f>J84/$J$100</f>
        <v>#REF!</v>
      </c>
    </row>
    <row r="85" spans="1:12">
      <c r="A85" s="45" t="s">
        <v>48</v>
      </c>
      <c r="B85" s="121">
        <v>1679</v>
      </c>
      <c r="C85" s="78" t="s">
        <v>30</v>
      </c>
      <c r="D85" s="31" t="s">
        <v>250</v>
      </c>
      <c r="E85" s="32" t="s">
        <v>244</v>
      </c>
      <c r="F85" s="33" t="e">
        <f>#REF!</f>
        <v>#REF!</v>
      </c>
      <c r="G85" s="34">
        <v>41.89</v>
      </c>
      <c r="H85" s="34">
        <f t="shared" si="6"/>
        <v>51.473318763318701</v>
      </c>
      <c r="I85" s="34" t="e">
        <f t="shared" si="7"/>
        <v>#REF!</v>
      </c>
      <c r="J85" s="46" t="e">
        <f t="shared" si="8"/>
        <v>#REF!</v>
      </c>
      <c r="L85" s="8"/>
    </row>
    <row r="86" spans="1:12">
      <c r="A86" s="45" t="s">
        <v>49</v>
      </c>
      <c r="B86" s="121">
        <v>1678</v>
      </c>
      <c r="C86" s="78" t="s">
        <v>30</v>
      </c>
      <c r="D86" s="31" t="s">
        <v>251</v>
      </c>
      <c r="E86" s="32" t="s">
        <v>244</v>
      </c>
      <c r="F86" s="33" t="e">
        <f>#REF!</f>
        <v>#REF!</v>
      </c>
      <c r="G86" s="34">
        <v>61.73</v>
      </c>
      <c r="H86" s="34">
        <f t="shared" si="6"/>
        <v>75.852183510615021</v>
      </c>
      <c r="I86" s="34" t="e">
        <f t="shared" si="7"/>
        <v>#REF!</v>
      </c>
      <c r="J86" s="46" t="e">
        <f t="shared" si="8"/>
        <v>#REF!</v>
      </c>
      <c r="L86" s="8"/>
    </row>
    <row r="87" spans="1:12">
      <c r="A87" s="45" t="s">
        <v>83</v>
      </c>
      <c r="B87" s="121">
        <v>1683</v>
      </c>
      <c r="C87" s="78" t="s">
        <v>30</v>
      </c>
      <c r="D87" s="31" t="s">
        <v>262</v>
      </c>
      <c r="E87" s="32" t="s">
        <v>244</v>
      </c>
      <c r="F87" s="33">
        <v>6</v>
      </c>
      <c r="G87" s="34">
        <v>60.39</v>
      </c>
      <c r="H87" s="34">
        <f t="shared" si="6"/>
        <v>74.205627121432713</v>
      </c>
      <c r="I87" s="34">
        <f t="shared" si="7"/>
        <v>362.34000000000003</v>
      </c>
      <c r="J87" s="46">
        <f t="shared" si="8"/>
        <v>445.23376272859628</v>
      </c>
      <c r="L87" s="8"/>
    </row>
    <row r="88" spans="1:12">
      <c r="A88" s="45" t="s">
        <v>84</v>
      </c>
      <c r="B88" s="121" t="s">
        <v>245</v>
      </c>
      <c r="C88" s="78" t="s">
        <v>29</v>
      </c>
      <c r="D88" s="31" t="s">
        <v>252</v>
      </c>
      <c r="E88" s="32" t="s">
        <v>225</v>
      </c>
      <c r="F88" s="33" t="e">
        <f>#REF!</f>
        <v>#REF!</v>
      </c>
      <c r="G88" s="34">
        <v>188.07</v>
      </c>
      <c r="H88" s="34">
        <f t="shared" si="6"/>
        <v>231.09541799516228</v>
      </c>
      <c r="I88" s="34" t="e">
        <f t="shared" si="7"/>
        <v>#REF!</v>
      </c>
      <c r="J88" s="46" t="e">
        <f t="shared" si="8"/>
        <v>#REF!</v>
      </c>
      <c r="L88" s="8"/>
    </row>
    <row r="89" spans="1:12">
      <c r="A89" s="45" t="s">
        <v>85</v>
      </c>
      <c r="B89" s="121">
        <v>89707</v>
      </c>
      <c r="C89" s="78" t="s">
        <v>29</v>
      </c>
      <c r="D89" s="31" t="s">
        <v>253</v>
      </c>
      <c r="E89" s="32" t="s">
        <v>225</v>
      </c>
      <c r="F89" s="33" t="e">
        <f>#REF!</f>
        <v>#REF!</v>
      </c>
      <c r="G89" s="34">
        <v>19.89</v>
      </c>
      <c r="H89" s="34">
        <f t="shared" si="6"/>
        <v>24.440303418534473</v>
      </c>
      <c r="I89" s="34" t="e">
        <f t="shared" si="7"/>
        <v>#REF!</v>
      </c>
      <c r="J89" s="46" t="e">
        <f t="shared" si="8"/>
        <v>#REF!</v>
      </c>
      <c r="L89" s="8"/>
    </row>
    <row r="90" spans="1:12">
      <c r="A90" s="45" t="s">
        <v>86</v>
      </c>
      <c r="B90" s="121">
        <v>89709</v>
      </c>
      <c r="C90" s="78" t="s">
        <v>29</v>
      </c>
      <c r="D90" s="31" t="s">
        <v>254</v>
      </c>
      <c r="E90" s="32" t="s">
        <v>225</v>
      </c>
      <c r="F90" s="33" t="e">
        <f>#REF!</f>
        <v>#REF!</v>
      </c>
      <c r="G90" s="34">
        <v>7.34</v>
      </c>
      <c r="H90" s="34">
        <f t="shared" si="6"/>
        <v>9.0191969377598298</v>
      </c>
      <c r="I90" s="34" t="e">
        <f t="shared" si="7"/>
        <v>#REF!</v>
      </c>
      <c r="J90" s="46" t="e">
        <f t="shared" si="8"/>
        <v>#REF!</v>
      </c>
      <c r="L90" s="8"/>
    </row>
    <row r="91" spans="1:12">
      <c r="A91" s="45" t="s">
        <v>304</v>
      </c>
      <c r="B91" s="119" t="s">
        <v>246</v>
      </c>
      <c r="C91" s="78" t="s">
        <v>29</v>
      </c>
      <c r="D91" s="31" t="s">
        <v>255</v>
      </c>
      <c r="E91" s="32" t="s">
        <v>225</v>
      </c>
      <c r="F91" s="33" t="e">
        <f>#REF!</f>
        <v>#REF!</v>
      </c>
      <c r="G91" s="34">
        <v>121.2</v>
      </c>
      <c r="H91" s="34">
        <f t="shared" si="6"/>
        <v>148.92733908126587</v>
      </c>
      <c r="I91" s="34" t="e">
        <f t="shared" si="7"/>
        <v>#REF!</v>
      </c>
      <c r="J91" s="46" t="e">
        <f t="shared" si="8"/>
        <v>#REF!</v>
      </c>
      <c r="L91" s="8"/>
    </row>
    <row r="92" spans="1:12">
      <c r="A92" s="45" t="s">
        <v>305</v>
      </c>
      <c r="B92" s="121">
        <v>89987</v>
      </c>
      <c r="C92" s="78" t="s">
        <v>29</v>
      </c>
      <c r="D92" s="31" t="s">
        <v>256</v>
      </c>
      <c r="E92" s="32" t="s">
        <v>225</v>
      </c>
      <c r="F92" s="33" t="e">
        <f>#REF!</f>
        <v>#REF!</v>
      </c>
      <c r="G92" s="34">
        <v>70.2</v>
      </c>
      <c r="H92" s="34">
        <f t="shared" si="6"/>
        <v>86.259894418356964</v>
      </c>
      <c r="I92" s="34" t="e">
        <f t="shared" si="7"/>
        <v>#REF!</v>
      </c>
      <c r="J92" s="46" t="e">
        <f t="shared" si="8"/>
        <v>#REF!</v>
      </c>
      <c r="L92" s="8"/>
    </row>
    <row r="93" spans="1:12">
      <c r="A93" s="45" t="s">
        <v>306</v>
      </c>
      <c r="B93" s="121">
        <v>89984</v>
      </c>
      <c r="C93" s="78" t="s">
        <v>29</v>
      </c>
      <c r="D93" s="31" t="s">
        <v>257</v>
      </c>
      <c r="E93" s="32" t="s">
        <v>225</v>
      </c>
      <c r="F93" s="33" t="e">
        <f>#REF!</f>
        <v>#REF!</v>
      </c>
      <c r="G93" s="34">
        <v>64.81</v>
      </c>
      <c r="H93" s="34">
        <f t="shared" si="6"/>
        <v>79.636805658884825</v>
      </c>
      <c r="I93" s="34" t="e">
        <f t="shared" si="7"/>
        <v>#REF!</v>
      </c>
      <c r="J93" s="46" t="e">
        <f t="shared" si="8"/>
        <v>#REF!</v>
      </c>
      <c r="L93" s="8"/>
    </row>
    <row r="94" spans="1:12">
      <c r="A94" s="45" t="s">
        <v>307</v>
      </c>
      <c r="B94" s="121">
        <v>89356</v>
      </c>
      <c r="C94" s="78" t="s">
        <v>29</v>
      </c>
      <c r="D94" s="31" t="s">
        <v>258</v>
      </c>
      <c r="E94" s="32" t="s">
        <v>247</v>
      </c>
      <c r="F94" s="33" t="e">
        <f>#REF!</f>
        <v>#REF!</v>
      </c>
      <c r="G94" s="34">
        <v>14.76</v>
      </c>
      <c r="H94" s="34">
        <f t="shared" si="6"/>
        <v>18.136695749500692</v>
      </c>
      <c r="I94" s="34" t="e">
        <f t="shared" si="7"/>
        <v>#REF!</v>
      </c>
      <c r="J94" s="46" t="e">
        <f t="shared" si="8"/>
        <v>#REF!</v>
      </c>
      <c r="L94" s="8"/>
    </row>
    <row r="95" spans="1:12">
      <c r="A95" s="45" t="s">
        <v>308</v>
      </c>
      <c r="B95" s="121">
        <v>89714</v>
      </c>
      <c r="C95" s="78" t="s">
        <v>29</v>
      </c>
      <c r="D95" s="31" t="s">
        <v>259</v>
      </c>
      <c r="E95" s="32" t="s">
        <v>247</v>
      </c>
      <c r="F95" s="33" t="e">
        <f>#REF!</f>
        <v>#REF!</v>
      </c>
      <c r="G95" s="34">
        <v>36.64</v>
      </c>
      <c r="H95" s="34">
        <f t="shared" si="6"/>
        <v>45.022258283313377</v>
      </c>
      <c r="I95" s="34" t="e">
        <f t="shared" si="7"/>
        <v>#REF!</v>
      </c>
      <c r="J95" s="46" t="e">
        <f t="shared" si="8"/>
        <v>#REF!</v>
      </c>
      <c r="L95" s="8"/>
    </row>
    <row r="96" spans="1:12">
      <c r="A96" s="45" t="s">
        <v>309</v>
      </c>
      <c r="B96" s="121">
        <v>89712</v>
      </c>
      <c r="C96" s="78" t="s">
        <v>29</v>
      </c>
      <c r="D96" s="31" t="s">
        <v>260</v>
      </c>
      <c r="E96" s="32" t="s">
        <v>247</v>
      </c>
      <c r="F96" s="33" t="e">
        <f>#REF!</f>
        <v>#REF!</v>
      </c>
      <c r="G96" s="34">
        <v>19.23</v>
      </c>
      <c r="H96" s="34">
        <f t="shared" si="6"/>
        <v>23.629312958190944</v>
      </c>
      <c r="I96" s="34" t="e">
        <f t="shared" si="7"/>
        <v>#REF!</v>
      </c>
      <c r="J96" s="46" t="e">
        <f t="shared" si="8"/>
        <v>#REF!</v>
      </c>
      <c r="L96" s="8"/>
    </row>
    <row r="97" spans="1:12">
      <c r="A97" s="45" t="s">
        <v>310</v>
      </c>
      <c r="B97" s="121">
        <v>89448</v>
      </c>
      <c r="C97" s="78" t="s">
        <v>29</v>
      </c>
      <c r="D97" s="31" t="s">
        <v>261</v>
      </c>
      <c r="E97" s="32" t="s">
        <v>247</v>
      </c>
      <c r="F97" s="33" t="e">
        <f>#REF!</f>
        <v>#REF!</v>
      </c>
      <c r="G97" s="34">
        <v>9.5399999999999991</v>
      </c>
      <c r="H97" s="34">
        <f t="shared" si="6"/>
        <v>11.722498472238252</v>
      </c>
      <c r="I97" s="34" t="e">
        <f t="shared" si="7"/>
        <v>#REF!</v>
      </c>
      <c r="J97" s="46" t="e">
        <f t="shared" si="8"/>
        <v>#REF!</v>
      </c>
      <c r="L97" s="8"/>
    </row>
    <row r="98" spans="1:12">
      <c r="A98" s="45" t="s">
        <v>314</v>
      </c>
      <c r="B98" s="121">
        <v>95463</v>
      </c>
      <c r="C98" s="78" t="s">
        <v>29</v>
      </c>
      <c r="D98" s="31" t="s">
        <v>313</v>
      </c>
      <c r="E98" s="32"/>
      <c r="F98" s="33">
        <v>1</v>
      </c>
      <c r="G98" s="34">
        <v>1205.8399999999999</v>
      </c>
      <c r="H98" s="34">
        <f t="shared" si="6"/>
        <v>1481.704146516119</v>
      </c>
      <c r="I98" s="34">
        <f t="shared" si="7"/>
        <v>1205.8399999999999</v>
      </c>
      <c r="J98" s="46">
        <f t="shared" si="8"/>
        <v>1481.704146516119</v>
      </c>
      <c r="L98" s="8"/>
    </row>
    <row r="99" spans="1:12" ht="24">
      <c r="A99" s="45" t="s">
        <v>315</v>
      </c>
      <c r="B99" s="121" t="s">
        <v>311</v>
      </c>
      <c r="C99" s="78" t="s">
        <v>29</v>
      </c>
      <c r="D99" s="31" t="s">
        <v>312</v>
      </c>
      <c r="E99" s="32" t="s">
        <v>225</v>
      </c>
      <c r="F99" s="33">
        <v>1</v>
      </c>
      <c r="G99" s="34">
        <v>1241.9000000000001</v>
      </c>
      <c r="H99" s="34">
        <f t="shared" si="6"/>
        <v>1526.01371621307</v>
      </c>
      <c r="I99" s="34">
        <f t="shared" si="7"/>
        <v>1241.9000000000001</v>
      </c>
      <c r="J99" s="46">
        <f t="shared" si="8"/>
        <v>1526.01371621307</v>
      </c>
      <c r="L99" s="8"/>
    </row>
    <row r="100" spans="1:12">
      <c r="A100" s="323" t="s">
        <v>96</v>
      </c>
      <c r="B100" s="324"/>
      <c r="C100" s="324"/>
      <c r="D100" s="324"/>
      <c r="E100" s="324"/>
      <c r="F100" s="324"/>
      <c r="G100" s="324"/>
      <c r="H100" s="324"/>
      <c r="I100" s="48" t="e">
        <f>SUM(I84:I99)</f>
        <v>#REF!</v>
      </c>
      <c r="J100" s="48" t="e">
        <f>SUM(J84:J99)</f>
        <v>#REF!</v>
      </c>
    </row>
    <row r="101" spans="1:12">
      <c r="A101" s="43">
        <v>12</v>
      </c>
      <c r="B101" s="35"/>
      <c r="C101" s="27"/>
      <c r="D101" s="28" t="s">
        <v>63</v>
      </c>
      <c r="E101" s="36"/>
      <c r="F101" s="37"/>
      <c r="G101" s="38"/>
      <c r="H101" s="38"/>
      <c r="I101" s="29"/>
      <c r="J101" s="44"/>
    </row>
    <row r="102" spans="1:12" s="141" customFormat="1" ht="48">
      <c r="A102" s="133" t="s">
        <v>50</v>
      </c>
      <c r="B102" s="134">
        <v>86931</v>
      </c>
      <c r="C102" s="135" t="s">
        <v>29</v>
      </c>
      <c r="D102" s="136" t="s">
        <v>66</v>
      </c>
      <c r="E102" s="137" t="s">
        <v>62</v>
      </c>
      <c r="F102" s="138">
        <v>7</v>
      </c>
      <c r="G102" s="139">
        <v>354.01</v>
      </c>
      <c r="H102" s="139">
        <f t="shared" ref="H102:H114" si="9">G102*(1+$I$5)</f>
        <v>434.99808010032115</v>
      </c>
      <c r="I102" s="139">
        <f t="shared" ref="I102:I114" si="10">F102*G102</f>
        <v>2478.0699999999997</v>
      </c>
      <c r="J102" s="140">
        <f t="shared" ref="J102:J114" si="11">F102*H102</f>
        <v>3044.986560702248</v>
      </c>
    </row>
    <row r="103" spans="1:12" s="141" customFormat="1" ht="24">
      <c r="A103" s="133" t="s">
        <v>51</v>
      </c>
      <c r="B103" s="134">
        <v>2066</v>
      </c>
      <c r="C103" s="135" t="s">
        <v>30</v>
      </c>
      <c r="D103" s="136" t="s">
        <v>67</v>
      </c>
      <c r="E103" s="137" t="s">
        <v>62</v>
      </c>
      <c r="F103" s="138">
        <v>7</v>
      </c>
      <c r="G103" s="139">
        <v>34.51</v>
      </c>
      <c r="H103" s="139">
        <f t="shared" si="9"/>
        <v>42.404970888568357</v>
      </c>
      <c r="I103" s="139">
        <f t="shared" si="10"/>
        <v>241.57</v>
      </c>
      <c r="J103" s="140">
        <f t="shared" si="11"/>
        <v>296.8347962199785</v>
      </c>
    </row>
    <row r="104" spans="1:12" s="132" customFormat="1" ht="48">
      <c r="A104" s="124" t="s">
        <v>87</v>
      </c>
      <c r="B104" s="125">
        <v>95472</v>
      </c>
      <c r="C104" s="126" t="s">
        <v>29</v>
      </c>
      <c r="D104" s="127" t="s">
        <v>317</v>
      </c>
      <c r="E104" s="128" t="s">
        <v>62</v>
      </c>
      <c r="F104" s="129">
        <v>2</v>
      </c>
      <c r="G104" s="130">
        <v>578.83000000000004</v>
      </c>
      <c r="H104" s="130">
        <f t="shared" si="9"/>
        <v>711.25092145552082</v>
      </c>
      <c r="I104" s="130">
        <f t="shared" si="10"/>
        <v>1157.6600000000001</v>
      </c>
      <c r="J104" s="131">
        <f t="shared" si="11"/>
        <v>1422.5018429110416</v>
      </c>
    </row>
    <row r="105" spans="1:12" s="132" customFormat="1" ht="24">
      <c r="A105" s="124" t="s">
        <v>235</v>
      </c>
      <c r="B105" s="125">
        <v>4387</v>
      </c>
      <c r="C105" s="126" t="s">
        <v>30</v>
      </c>
      <c r="D105" s="127" t="s">
        <v>322</v>
      </c>
      <c r="E105" s="128" t="s">
        <v>62</v>
      </c>
      <c r="F105" s="129">
        <v>2</v>
      </c>
      <c r="G105" s="130">
        <v>525.94000000000005</v>
      </c>
      <c r="H105" s="130">
        <f t="shared" si="9"/>
        <v>646.26109501981</v>
      </c>
      <c r="I105" s="130">
        <f t="shared" si="10"/>
        <v>1051.8800000000001</v>
      </c>
      <c r="J105" s="131">
        <f t="shared" si="11"/>
        <v>1292.52219003962</v>
      </c>
    </row>
    <row r="106" spans="1:12" s="141" customFormat="1" ht="24">
      <c r="A106" s="133" t="s">
        <v>234</v>
      </c>
      <c r="B106" s="134">
        <v>95544</v>
      </c>
      <c r="C106" s="135" t="s">
        <v>29</v>
      </c>
      <c r="D106" s="136" t="s">
        <v>316</v>
      </c>
      <c r="E106" s="137" t="s">
        <v>62</v>
      </c>
      <c r="F106" s="138" t="e">
        <f>#REF!</f>
        <v>#REF!</v>
      </c>
      <c r="G106" s="139">
        <v>22.59</v>
      </c>
      <c r="H106" s="139">
        <f t="shared" si="9"/>
        <v>27.757991665394353</v>
      </c>
      <c r="I106" s="139" t="e">
        <f t="shared" si="10"/>
        <v>#REF!</v>
      </c>
      <c r="J106" s="140" t="e">
        <f t="shared" si="11"/>
        <v>#REF!</v>
      </c>
    </row>
    <row r="107" spans="1:12" s="141" customFormat="1" ht="62.25" customHeight="1">
      <c r="A107" s="133" t="s">
        <v>233</v>
      </c>
      <c r="B107" s="134">
        <v>86942</v>
      </c>
      <c r="C107" s="135" t="s">
        <v>29</v>
      </c>
      <c r="D107" s="136" t="s">
        <v>160</v>
      </c>
      <c r="E107" s="137" t="s">
        <v>62</v>
      </c>
      <c r="F107" s="138" t="e">
        <f>#REF!</f>
        <v>#REF!</v>
      </c>
      <c r="G107" s="139">
        <v>172.18</v>
      </c>
      <c r="H107" s="139">
        <f t="shared" si="9"/>
        <v>211.57020827567951</v>
      </c>
      <c r="I107" s="139" t="e">
        <f t="shared" si="10"/>
        <v>#REF!</v>
      </c>
      <c r="J107" s="140" t="e">
        <f t="shared" si="11"/>
        <v>#REF!</v>
      </c>
    </row>
    <row r="108" spans="1:12" s="141" customFormat="1" ht="36">
      <c r="A108" s="133" t="s">
        <v>232</v>
      </c>
      <c r="B108" s="134">
        <v>95547</v>
      </c>
      <c r="C108" s="135" t="s">
        <v>29</v>
      </c>
      <c r="D108" s="136" t="s">
        <v>161</v>
      </c>
      <c r="E108" s="137" t="s">
        <v>62</v>
      </c>
      <c r="F108" s="138" t="e">
        <f>#REF!</f>
        <v>#REF!</v>
      </c>
      <c r="G108" s="139">
        <v>50.71</v>
      </c>
      <c r="H108" s="139">
        <f t="shared" si="9"/>
        <v>62.311100369727654</v>
      </c>
      <c r="I108" s="139" t="e">
        <f t="shared" si="10"/>
        <v>#REF!</v>
      </c>
      <c r="J108" s="140" t="e">
        <f t="shared" si="11"/>
        <v>#REF!</v>
      </c>
    </row>
    <row r="109" spans="1:12" s="132" customFormat="1" ht="48">
      <c r="A109" s="124" t="s">
        <v>231</v>
      </c>
      <c r="B109" s="125">
        <v>86935</v>
      </c>
      <c r="C109" s="126" t="s">
        <v>29</v>
      </c>
      <c r="D109" s="127" t="s">
        <v>318</v>
      </c>
      <c r="E109" s="128" t="s">
        <v>62</v>
      </c>
      <c r="F109" s="129">
        <v>11</v>
      </c>
      <c r="G109" s="130">
        <v>150.80000000000001</v>
      </c>
      <c r="H109" s="130">
        <f t="shared" si="9"/>
        <v>185.29903245424831</v>
      </c>
      <c r="I109" s="130">
        <f t="shared" si="10"/>
        <v>1658.8000000000002</v>
      </c>
      <c r="J109" s="131">
        <f t="shared" si="11"/>
        <v>2038.2893569967314</v>
      </c>
    </row>
    <row r="110" spans="1:12" s="132" customFormat="1" ht="36">
      <c r="A110" s="124" t="s">
        <v>230</v>
      </c>
      <c r="B110" s="125">
        <v>9057</v>
      </c>
      <c r="C110" s="126" t="s">
        <v>30</v>
      </c>
      <c r="D110" s="127" t="s">
        <v>323</v>
      </c>
      <c r="E110" s="128" t="s">
        <v>62</v>
      </c>
      <c r="F110" s="129">
        <v>2</v>
      </c>
      <c r="G110" s="130">
        <v>202.99</v>
      </c>
      <c r="H110" s="130">
        <f t="shared" si="9"/>
        <v>249.42871749262505</v>
      </c>
      <c r="I110" s="130">
        <f t="shared" si="10"/>
        <v>405.98</v>
      </c>
      <c r="J110" s="131">
        <f t="shared" si="11"/>
        <v>498.85743498525011</v>
      </c>
    </row>
    <row r="111" spans="1:12" s="141" customFormat="1" ht="36">
      <c r="A111" s="133" t="s">
        <v>229</v>
      </c>
      <c r="B111" s="134">
        <v>86910</v>
      </c>
      <c r="C111" s="135" t="s">
        <v>29</v>
      </c>
      <c r="D111" s="136" t="s">
        <v>65</v>
      </c>
      <c r="E111" s="137" t="s">
        <v>62</v>
      </c>
      <c r="F111" s="138">
        <f>F109</f>
        <v>11</v>
      </c>
      <c r="G111" s="139">
        <v>82.83</v>
      </c>
      <c r="H111" s="139">
        <f t="shared" si="9"/>
        <v>101.77930277311263</v>
      </c>
      <c r="I111" s="139">
        <f t="shared" si="10"/>
        <v>911.13</v>
      </c>
      <c r="J111" s="140">
        <f t="shared" si="11"/>
        <v>1119.5723305042391</v>
      </c>
    </row>
    <row r="112" spans="1:12" s="132" customFormat="1" ht="24">
      <c r="A112" s="124" t="s">
        <v>228</v>
      </c>
      <c r="B112" s="125">
        <v>86913</v>
      </c>
      <c r="C112" s="126" t="s">
        <v>29</v>
      </c>
      <c r="D112" s="127" t="s">
        <v>319</v>
      </c>
      <c r="E112" s="128" t="s">
        <v>62</v>
      </c>
      <c r="F112" s="129">
        <f>F110</f>
        <v>2</v>
      </c>
      <c r="G112" s="130">
        <v>16.23</v>
      </c>
      <c r="H112" s="130">
        <f t="shared" si="9"/>
        <v>19.942992683902187</v>
      </c>
      <c r="I112" s="130">
        <f t="shared" si="10"/>
        <v>32.46</v>
      </c>
      <c r="J112" s="131">
        <f t="shared" si="11"/>
        <v>39.885985367804373</v>
      </c>
    </row>
    <row r="113" spans="1:10" s="141" customFormat="1">
      <c r="A113" s="133" t="s">
        <v>227</v>
      </c>
      <c r="B113" s="134">
        <v>8236</v>
      </c>
      <c r="C113" s="135" t="s">
        <v>30</v>
      </c>
      <c r="D113" s="136" t="s">
        <v>72</v>
      </c>
      <c r="E113" s="137" t="s">
        <v>62</v>
      </c>
      <c r="F113" s="138" t="e">
        <f>#REF!</f>
        <v>#REF!</v>
      </c>
      <c r="G113" s="139">
        <v>24.46</v>
      </c>
      <c r="H113" s="139">
        <f t="shared" si="9"/>
        <v>30.055797969701015</v>
      </c>
      <c r="I113" s="139" t="e">
        <f t="shared" si="10"/>
        <v>#REF!</v>
      </c>
      <c r="J113" s="140" t="e">
        <f t="shared" si="11"/>
        <v>#REF!</v>
      </c>
    </row>
    <row r="114" spans="1:10" s="141" customFormat="1" ht="24">
      <c r="A114" s="133" t="s">
        <v>226</v>
      </c>
      <c r="B114" s="134">
        <v>9535</v>
      </c>
      <c r="C114" s="135" t="s">
        <v>29</v>
      </c>
      <c r="D114" s="136" t="s">
        <v>149</v>
      </c>
      <c r="E114" s="137" t="s">
        <v>62</v>
      </c>
      <c r="F114" s="138" t="e">
        <f>#REF!</f>
        <v>#REF!</v>
      </c>
      <c r="G114" s="139">
        <v>70.08</v>
      </c>
      <c r="H114" s="139">
        <f t="shared" si="9"/>
        <v>86.112441607385406</v>
      </c>
      <c r="I114" s="139" t="e">
        <f t="shared" si="10"/>
        <v>#REF!</v>
      </c>
      <c r="J114" s="140" t="e">
        <f t="shared" si="11"/>
        <v>#REF!</v>
      </c>
    </row>
    <row r="115" spans="1:10">
      <c r="A115" s="323" t="s">
        <v>95</v>
      </c>
      <c r="B115" s="324"/>
      <c r="C115" s="324"/>
      <c r="D115" s="324"/>
      <c r="E115" s="324"/>
      <c r="F115" s="324"/>
      <c r="G115" s="324"/>
      <c r="H115" s="324"/>
      <c r="I115" s="48" t="e">
        <f>SUM(I102:I114)</f>
        <v>#REF!</v>
      </c>
      <c r="J115" s="48" t="e">
        <f>SUM(J102:J114)</f>
        <v>#REF!</v>
      </c>
    </row>
    <row r="116" spans="1:10">
      <c r="A116" s="43">
        <v>13</v>
      </c>
      <c r="B116" s="35"/>
      <c r="C116" s="27"/>
      <c r="D116" s="28" t="s">
        <v>15</v>
      </c>
      <c r="E116" s="36"/>
      <c r="F116" s="37"/>
      <c r="G116" s="38"/>
      <c r="H116" s="38"/>
      <c r="I116" s="29"/>
      <c r="J116" s="44"/>
    </row>
    <row r="117" spans="1:10" ht="60">
      <c r="A117" s="45" t="s">
        <v>88</v>
      </c>
      <c r="B117" s="30">
        <v>83463</v>
      </c>
      <c r="C117" s="78" t="s">
        <v>29</v>
      </c>
      <c r="D117" s="31" t="s">
        <v>68</v>
      </c>
      <c r="E117" s="32" t="s">
        <v>62</v>
      </c>
      <c r="F117" s="33" t="e">
        <f>#REF!</f>
        <v>#REF!</v>
      </c>
      <c r="G117" s="34">
        <v>253.74</v>
      </c>
      <c r="H117" s="34">
        <f t="shared" ref="H117:H126" si="12">G117*(1+$I$5)</f>
        <v>311.78896879934325</v>
      </c>
      <c r="I117" s="34" t="e">
        <f t="shared" ref="I117:I126" si="13">F117*G117</f>
        <v>#REF!</v>
      </c>
      <c r="J117" s="46" t="e">
        <f t="shared" ref="J117:J126" si="14">F117*H117</f>
        <v>#REF!</v>
      </c>
    </row>
    <row r="118" spans="1:10" ht="24">
      <c r="A118" s="45" t="s">
        <v>89</v>
      </c>
      <c r="B118" s="30">
        <v>93654</v>
      </c>
      <c r="C118" s="78" t="s">
        <v>29</v>
      </c>
      <c r="D118" s="31" t="s">
        <v>166</v>
      </c>
      <c r="E118" s="32" t="s">
        <v>62</v>
      </c>
      <c r="F118" s="33" t="e">
        <f>#REF!</f>
        <v>#REF!</v>
      </c>
      <c r="G118" s="34">
        <v>10.58</v>
      </c>
      <c r="H118" s="34">
        <f t="shared" si="12"/>
        <v>13.00042283399169</v>
      </c>
      <c r="I118" s="34" t="e">
        <f t="shared" si="13"/>
        <v>#REF!</v>
      </c>
      <c r="J118" s="46" t="e">
        <f t="shared" si="14"/>
        <v>#REF!</v>
      </c>
    </row>
    <row r="119" spans="1:10" ht="24">
      <c r="A119" s="45" t="s">
        <v>109</v>
      </c>
      <c r="B119" s="30">
        <v>93655</v>
      </c>
      <c r="C119" s="78" t="s">
        <v>29</v>
      </c>
      <c r="D119" s="31" t="s">
        <v>165</v>
      </c>
      <c r="E119" s="32" t="s">
        <v>62</v>
      </c>
      <c r="F119" s="33" t="e">
        <f>#REF!</f>
        <v>#REF!</v>
      </c>
      <c r="G119" s="34">
        <v>11.35</v>
      </c>
      <c r="H119" s="34">
        <f t="shared" si="12"/>
        <v>13.946578371059138</v>
      </c>
      <c r="I119" s="34" t="e">
        <f t="shared" si="13"/>
        <v>#REF!</v>
      </c>
      <c r="J119" s="46" t="e">
        <f t="shared" si="14"/>
        <v>#REF!</v>
      </c>
    </row>
    <row r="120" spans="1:10" ht="24">
      <c r="A120" s="45" t="s">
        <v>110</v>
      </c>
      <c r="B120" s="30">
        <v>93657</v>
      </c>
      <c r="C120" s="78" t="s">
        <v>29</v>
      </c>
      <c r="D120" s="31" t="s">
        <v>167</v>
      </c>
      <c r="E120" s="32"/>
      <c r="F120" s="33" t="e">
        <f>#REF!</f>
        <v>#REF!</v>
      </c>
      <c r="G120" s="34">
        <v>12.35</v>
      </c>
      <c r="H120" s="34">
        <f t="shared" si="12"/>
        <v>15.175351795822056</v>
      </c>
      <c r="I120" s="34" t="e">
        <f t="shared" si="13"/>
        <v>#REF!</v>
      </c>
      <c r="J120" s="46" t="e">
        <f t="shared" si="14"/>
        <v>#REF!</v>
      </c>
    </row>
    <row r="121" spans="1:10" ht="36">
      <c r="A121" s="45" t="s">
        <v>111</v>
      </c>
      <c r="B121" s="30">
        <v>3395</v>
      </c>
      <c r="C121" s="78" t="s">
        <v>30</v>
      </c>
      <c r="D121" s="120" t="s">
        <v>162</v>
      </c>
      <c r="E121" s="32" t="s">
        <v>21</v>
      </c>
      <c r="F121" s="33" t="e">
        <f>#REF!</f>
        <v>#REF!</v>
      </c>
      <c r="G121" s="34">
        <v>165.8</v>
      </c>
      <c r="H121" s="34">
        <f t="shared" si="12"/>
        <v>203.73063382569208</v>
      </c>
      <c r="I121" s="34" t="e">
        <f t="shared" si="13"/>
        <v>#REF!</v>
      </c>
      <c r="J121" s="46" t="e">
        <f t="shared" si="14"/>
        <v>#REF!</v>
      </c>
    </row>
    <row r="122" spans="1:10" ht="36">
      <c r="A122" s="45" t="s">
        <v>112</v>
      </c>
      <c r="B122" s="30">
        <v>3278</v>
      </c>
      <c r="C122" s="78" t="s">
        <v>30</v>
      </c>
      <c r="D122" s="120" t="s">
        <v>152</v>
      </c>
      <c r="E122" s="32" t="s">
        <v>21</v>
      </c>
      <c r="F122" s="33" t="e">
        <f>#REF!</f>
        <v>#REF!</v>
      </c>
      <c r="G122" s="34">
        <v>117.74</v>
      </c>
      <c r="H122" s="34">
        <f t="shared" si="12"/>
        <v>144.67578303158615</v>
      </c>
      <c r="I122" s="34" t="e">
        <f t="shared" si="13"/>
        <v>#REF!</v>
      </c>
      <c r="J122" s="46" t="e">
        <f t="shared" si="14"/>
        <v>#REF!</v>
      </c>
    </row>
    <row r="123" spans="1:10" ht="36">
      <c r="A123" s="45" t="s">
        <v>118</v>
      </c>
      <c r="B123" s="30">
        <v>93141</v>
      </c>
      <c r="C123" s="78" t="s">
        <v>29</v>
      </c>
      <c r="D123" s="120" t="s">
        <v>164</v>
      </c>
      <c r="E123" s="32" t="s">
        <v>21</v>
      </c>
      <c r="F123" s="33" t="e">
        <f>#REF!</f>
        <v>#REF!</v>
      </c>
      <c r="G123" s="34">
        <v>131.86000000000001</v>
      </c>
      <c r="H123" s="34">
        <f t="shared" si="12"/>
        <v>162.02606378923861</v>
      </c>
      <c r="I123" s="34" t="e">
        <f t="shared" si="13"/>
        <v>#REF!</v>
      </c>
      <c r="J123" s="46" t="e">
        <f t="shared" si="14"/>
        <v>#REF!</v>
      </c>
    </row>
    <row r="124" spans="1:10" ht="36">
      <c r="A124" s="45" t="s">
        <v>119</v>
      </c>
      <c r="B124" s="30">
        <v>93143</v>
      </c>
      <c r="C124" s="78" t="s">
        <v>29</v>
      </c>
      <c r="D124" s="120" t="s">
        <v>163</v>
      </c>
      <c r="E124" s="32" t="s">
        <v>21</v>
      </c>
      <c r="F124" s="33" t="e">
        <f>#REF!</f>
        <v>#REF!</v>
      </c>
      <c r="G124" s="34">
        <v>133.29</v>
      </c>
      <c r="H124" s="34">
        <f t="shared" si="12"/>
        <v>163.78320978664954</v>
      </c>
      <c r="I124" s="34" t="e">
        <f t="shared" si="13"/>
        <v>#REF!</v>
      </c>
      <c r="J124" s="46" t="e">
        <f t="shared" si="14"/>
        <v>#REF!</v>
      </c>
    </row>
    <row r="125" spans="1:10" ht="24">
      <c r="A125" s="45" t="s">
        <v>150</v>
      </c>
      <c r="B125" s="30">
        <v>3281</v>
      </c>
      <c r="C125" s="78" t="s">
        <v>30</v>
      </c>
      <c r="D125" s="120" t="s">
        <v>70</v>
      </c>
      <c r="E125" s="32" t="s">
        <v>21</v>
      </c>
      <c r="F125" s="33" t="e">
        <f>#REF!</f>
        <v>#REF!</v>
      </c>
      <c r="G125" s="34">
        <v>120.54</v>
      </c>
      <c r="H125" s="34">
        <f t="shared" si="12"/>
        <v>148.11634862092234</v>
      </c>
      <c r="I125" s="34" t="e">
        <f t="shared" si="13"/>
        <v>#REF!</v>
      </c>
      <c r="J125" s="46" t="e">
        <f t="shared" si="14"/>
        <v>#REF!</v>
      </c>
    </row>
    <row r="126" spans="1:10" ht="36">
      <c r="A126" s="45" t="s">
        <v>151</v>
      </c>
      <c r="B126" s="30">
        <v>647</v>
      </c>
      <c r="C126" s="78" t="s">
        <v>30</v>
      </c>
      <c r="D126" s="120" t="s">
        <v>69</v>
      </c>
      <c r="E126" s="32" t="s">
        <v>21</v>
      </c>
      <c r="F126" s="33" t="e">
        <f>#REF!</f>
        <v>#REF!</v>
      </c>
      <c r="G126" s="34">
        <v>133.15</v>
      </c>
      <c r="H126" s="34">
        <f t="shared" si="12"/>
        <v>163.61118150718275</v>
      </c>
      <c r="I126" s="34" t="e">
        <f t="shared" si="13"/>
        <v>#REF!</v>
      </c>
      <c r="J126" s="46" t="e">
        <f t="shared" si="14"/>
        <v>#REF!</v>
      </c>
    </row>
    <row r="127" spans="1:10">
      <c r="A127" s="323" t="s">
        <v>94</v>
      </c>
      <c r="B127" s="324"/>
      <c r="C127" s="324"/>
      <c r="D127" s="324"/>
      <c r="E127" s="324"/>
      <c r="F127" s="324"/>
      <c r="G127" s="324"/>
      <c r="H127" s="324"/>
      <c r="I127" s="48" t="e">
        <f>SUM(I117:I126)</f>
        <v>#REF!</v>
      </c>
      <c r="J127" s="48" t="e">
        <f>SUM(J117:J126)</f>
        <v>#REF!</v>
      </c>
    </row>
    <row r="128" spans="1:10">
      <c r="A128" s="43">
        <v>14</v>
      </c>
      <c r="B128" s="35"/>
      <c r="C128" s="27"/>
      <c r="D128" s="28" t="s">
        <v>3</v>
      </c>
      <c r="E128" s="36"/>
      <c r="F128" s="37"/>
      <c r="G128" s="38"/>
      <c r="H128" s="38"/>
      <c r="I128" s="29"/>
      <c r="J128" s="44"/>
    </row>
    <row r="129" spans="1:10" ht="24">
      <c r="A129" s="45" t="s">
        <v>52</v>
      </c>
      <c r="B129" s="30">
        <v>88487</v>
      </c>
      <c r="C129" s="78" t="s">
        <v>29</v>
      </c>
      <c r="D129" s="31" t="s">
        <v>168</v>
      </c>
      <c r="E129" s="32" t="s">
        <v>19</v>
      </c>
      <c r="F129" s="33" t="e">
        <f>#REF!</f>
        <v>#REF!</v>
      </c>
      <c r="G129" s="34">
        <v>8.02</v>
      </c>
      <c r="H129" s="34">
        <f>G129*(1+$I$5)</f>
        <v>9.8547628665986142</v>
      </c>
      <c r="I129" s="34" t="e">
        <f>F129*G129</f>
        <v>#REF!</v>
      </c>
      <c r="J129" s="46" t="e">
        <f>F129*H129</f>
        <v>#REF!</v>
      </c>
    </row>
    <row r="130" spans="1:10" ht="24">
      <c r="A130" s="45" t="s">
        <v>53</v>
      </c>
      <c r="B130" s="30">
        <v>88487</v>
      </c>
      <c r="C130" s="78" t="s">
        <v>29</v>
      </c>
      <c r="D130" s="31" t="s">
        <v>169</v>
      </c>
      <c r="E130" s="32" t="s">
        <v>19</v>
      </c>
      <c r="F130" s="33" t="e">
        <f>#REF!</f>
        <v>#REF!</v>
      </c>
      <c r="G130" s="34">
        <v>8.02</v>
      </c>
      <c r="H130" s="34">
        <f>G130*(1+$I$5)</f>
        <v>9.8547628665986142</v>
      </c>
      <c r="I130" s="34" t="e">
        <f>F130*G130</f>
        <v>#REF!</v>
      </c>
      <c r="J130" s="46" t="e">
        <f>F130*H130</f>
        <v>#REF!</v>
      </c>
    </row>
    <row r="131" spans="1:10" ht="36">
      <c r="A131" s="45" t="s">
        <v>90</v>
      </c>
      <c r="B131" s="30" t="s">
        <v>22</v>
      </c>
      <c r="C131" s="78" t="s">
        <v>29</v>
      </c>
      <c r="D131" s="31" t="s">
        <v>71</v>
      </c>
      <c r="E131" s="32" t="s">
        <v>19</v>
      </c>
      <c r="F131" s="33" t="e">
        <f>#REF!</f>
        <v>#REF!</v>
      </c>
      <c r="G131" s="34">
        <v>17.23</v>
      </c>
      <c r="H131" s="34">
        <f>G131*(1+$I$5)</f>
        <v>21.171766108665107</v>
      </c>
      <c r="I131" s="34" t="e">
        <f>F131*G131</f>
        <v>#REF!</v>
      </c>
      <c r="J131" s="46" t="e">
        <f>F131*H131</f>
        <v>#REF!</v>
      </c>
    </row>
    <row r="132" spans="1:10" ht="36">
      <c r="A132" s="45" t="s">
        <v>91</v>
      </c>
      <c r="B132" s="30" t="s">
        <v>171</v>
      </c>
      <c r="C132" s="78" t="s">
        <v>29</v>
      </c>
      <c r="D132" s="31" t="s">
        <v>170</v>
      </c>
      <c r="E132" s="32" t="s">
        <v>19</v>
      </c>
      <c r="F132" s="33" t="e">
        <f>#REF!</f>
        <v>#REF!</v>
      </c>
      <c r="G132" s="34">
        <v>13.53</v>
      </c>
      <c r="H132" s="34">
        <f>G132*(1+$I$5)</f>
        <v>16.625304437042303</v>
      </c>
      <c r="I132" s="34" t="e">
        <f>F132*G132</f>
        <v>#REF!</v>
      </c>
      <c r="J132" s="46" t="e">
        <f>F132*H132</f>
        <v>#REF!</v>
      </c>
    </row>
    <row r="133" spans="1:10">
      <c r="A133" s="323" t="s">
        <v>154</v>
      </c>
      <c r="B133" s="324"/>
      <c r="C133" s="324"/>
      <c r="D133" s="324"/>
      <c r="E133" s="324"/>
      <c r="F133" s="324"/>
      <c r="G133" s="324"/>
      <c r="H133" s="324"/>
      <c r="I133" s="48" t="e">
        <f>SUM(I129:I132)</f>
        <v>#REF!</v>
      </c>
      <c r="J133" s="48" t="e">
        <f>SUM(J129:J132)</f>
        <v>#REF!</v>
      </c>
    </row>
    <row r="134" spans="1:10">
      <c r="A134" s="43">
        <v>15</v>
      </c>
      <c r="B134" s="35"/>
      <c r="C134" s="27"/>
      <c r="D134" s="28" t="s">
        <v>25</v>
      </c>
      <c r="E134" s="36"/>
      <c r="F134" s="37"/>
      <c r="G134" s="38"/>
      <c r="H134" s="38"/>
      <c r="I134" s="29"/>
      <c r="J134" s="44"/>
    </row>
    <row r="135" spans="1:10">
      <c r="A135" s="45" t="s">
        <v>92</v>
      </c>
      <c r="B135" s="30">
        <v>9537</v>
      </c>
      <c r="C135" s="78" t="s">
        <v>29</v>
      </c>
      <c r="D135" s="31" t="s">
        <v>23</v>
      </c>
      <c r="E135" s="32" t="s">
        <v>19</v>
      </c>
      <c r="F135" s="33" t="e">
        <f>#REF!</f>
        <v>#REF!</v>
      </c>
      <c r="G135" s="34">
        <v>1.97</v>
      </c>
      <c r="H135" s="34">
        <f>G135*(1+$I$5)</f>
        <v>2.4206836467829516</v>
      </c>
      <c r="I135" s="34" t="e">
        <f>F135*G135</f>
        <v>#REF!</v>
      </c>
      <c r="J135" s="46" t="e">
        <f>F135*H135</f>
        <v>#REF!</v>
      </c>
    </row>
    <row r="136" spans="1:10" ht="13.5" thickBot="1">
      <c r="A136" s="316" t="s">
        <v>217</v>
      </c>
      <c r="B136" s="317"/>
      <c r="C136" s="317"/>
      <c r="D136" s="317"/>
      <c r="E136" s="317"/>
      <c r="F136" s="317"/>
      <c r="G136" s="317"/>
      <c r="H136" s="317"/>
      <c r="I136" s="49" t="e">
        <f>SUM(I135:I135)</f>
        <v>#REF!</v>
      </c>
      <c r="J136" s="49" t="e">
        <f>SUM(J135:J135)</f>
        <v>#REF!</v>
      </c>
    </row>
    <row r="137" spans="1:10" ht="6.75" customHeight="1" thickBot="1">
      <c r="A137" s="15"/>
      <c r="B137" s="13"/>
      <c r="C137" s="16"/>
      <c r="D137" s="17"/>
      <c r="E137" s="18"/>
      <c r="F137" s="19"/>
      <c r="G137" s="20"/>
      <c r="H137" s="20"/>
      <c r="I137" s="20"/>
      <c r="J137" s="47"/>
    </row>
    <row r="138" spans="1:10" ht="16.5" thickBot="1">
      <c r="A138" s="366" t="s">
        <v>54</v>
      </c>
      <c r="B138" s="367"/>
      <c r="C138" s="367"/>
      <c r="D138" s="367"/>
      <c r="E138" s="367"/>
      <c r="F138" s="367"/>
      <c r="G138" s="367"/>
      <c r="H138" s="367"/>
      <c r="I138" s="39" t="e">
        <f>I136+I133+I127+I115+I100+I82+I77+I70+I50+I45+I41+I35+I30+I26+I17</f>
        <v>#REF!</v>
      </c>
      <c r="J138" s="39" t="e">
        <f>J136+J133+J127+J115+J100+J82+J77+J70+J50+J45+J41+J35+J30+J26+J17</f>
        <v>#REF!</v>
      </c>
    </row>
    <row r="139" spans="1:10">
      <c r="A139" s="368" t="s">
        <v>203</v>
      </c>
      <c r="B139" s="369"/>
      <c r="C139" s="369"/>
      <c r="D139" s="369"/>
      <c r="E139" s="369"/>
      <c r="F139" s="374" t="s">
        <v>105</v>
      </c>
      <c r="G139" s="374"/>
      <c r="H139" s="374"/>
      <c r="I139" s="374"/>
      <c r="J139" s="375"/>
    </row>
    <row r="140" spans="1:10">
      <c r="A140" s="370"/>
      <c r="B140" s="371"/>
      <c r="C140" s="371"/>
      <c r="D140" s="371"/>
      <c r="E140" s="371"/>
      <c r="F140" s="376"/>
      <c r="G140" s="376"/>
      <c r="H140" s="376"/>
      <c r="I140" s="376"/>
      <c r="J140" s="377"/>
    </row>
    <row r="141" spans="1:10">
      <c r="A141" s="370"/>
      <c r="B141" s="371"/>
      <c r="C141" s="371"/>
      <c r="D141" s="371"/>
      <c r="E141" s="371"/>
      <c r="F141" s="376"/>
      <c r="G141" s="376"/>
      <c r="H141" s="376"/>
      <c r="I141" s="376"/>
      <c r="J141" s="377"/>
    </row>
    <row r="142" spans="1:10">
      <c r="A142" s="370"/>
      <c r="B142" s="371"/>
      <c r="C142" s="371"/>
      <c r="D142" s="371"/>
      <c r="E142" s="371"/>
      <c r="F142" s="376"/>
      <c r="G142" s="376"/>
      <c r="H142" s="376"/>
      <c r="I142" s="376"/>
      <c r="J142" s="377"/>
    </row>
    <row r="143" spans="1:10">
      <c r="A143" s="370"/>
      <c r="B143" s="371"/>
      <c r="C143" s="371"/>
      <c r="D143" s="371"/>
      <c r="E143" s="371"/>
      <c r="F143" s="376"/>
      <c r="G143" s="376"/>
      <c r="H143" s="376"/>
      <c r="I143" s="376"/>
      <c r="J143" s="377"/>
    </row>
    <row r="144" spans="1:10" ht="40.5" customHeight="1" thickBot="1">
      <c r="A144" s="372"/>
      <c r="B144" s="373"/>
      <c r="C144" s="373"/>
      <c r="D144" s="373"/>
      <c r="E144" s="373"/>
      <c r="F144" s="378"/>
      <c r="G144" s="378"/>
      <c r="H144" s="378"/>
      <c r="I144" s="378"/>
      <c r="J144" s="379"/>
    </row>
    <row r="145" spans="9:12" ht="13.5" thickBot="1"/>
    <row r="146" spans="9:12" ht="16.5" thickBot="1">
      <c r="I146" s="39">
        <v>1187824.4779570671</v>
      </c>
      <c r="L146" s="75"/>
    </row>
    <row r="147" spans="9:12">
      <c r="I147" s="4">
        <f>I146*0.02</f>
        <v>23756.489559141341</v>
      </c>
    </row>
  </sheetData>
  <mergeCells count="33">
    <mergeCell ref="A1:J1"/>
    <mergeCell ref="A2:J2"/>
    <mergeCell ref="A4:F4"/>
    <mergeCell ref="G4:H4"/>
    <mergeCell ref="I4:J4"/>
    <mergeCell ref="B20:C20"/>
    <mergeCell ref="A5:F5"/>
    <mergeCell ref="G5:H6"/>
    <mergeCell ref="I5:J6"/>
    <mergeCell ref="A6:F6"/>
    <mergeCell ref="A8:J8"/>
    <mergeCell ref="B13:C13"/>
    <mergeCell ref="B14:C14"/>
    <mergeCell ref="B15:C15"/>
    <mergeCell ref="A17:H17"/>
    <mergeCell ref="A11:J11"/>
    <mergeCell ref="A133:H133"/>
    <mergeCell ref="A136:H136"/>
    <mergeCell ref="A138:H138"/>
    <mergeCell ref="A139:E144"/>
    <mergeCell ref="F139:J144"/>
    <mergeCell ref="A115:H115"/>
    <mergeCell ref="A127:H127"/>
    <mergeCell ref="A26:H26"/>
    <mergeCell ref="A30:H30"/>
    <mergeCell ref="A35:H35"/>
    <mergeCell ref="A41:H41"/>
    <mergeCell ref="A45:H45"/>
    <mergeCell ref="A50:H50"/>
    <mergeCell ref="A70:H70"/>
    <mergeCell ref="A77:H77"/>
    <mergeCell ref="A82:H82"/>
    <mergeCell ref="A100:H100"/>
  </mergeCells>
  <pageMargins left="0.51181102362204722" right="0.51181102362204722" top="0.78740157480314965" bottom="0.78740157480314965" header="0.31496062992125984" footer="0.31496062992125984"/>
  <pageSetup paperSize="9" scale="65" orientation="portrait" r:id="rId1"/>
  <rowBreaks count="2" manualBreakCount="2">
    <brk id="45" max="9" man="1"/>
    <brk id="82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330"/>
  <sheetViews>
    <sheetView view="pageBreakPreview" topLeftCell="A304" zoomScaleNormal="80" zoomScaleSheetLayoutView="100" workbookViewId="0">
      <selection activeCell="D27" sqref="D27"/>
    </sheetView>
  </sheetViews>
  <sheetFormatPr defaultRowHeight="12.75"/>
  <cols>
    <col min="1" max="1" width="9.140625" style="62"/>
    <col min="2" max="2" width="11.28515625" style="62" customWidth="1"/>
    <col min="3" max="3" width="9.140625" style="62"/>
    <col min="4" max="4" width="66.5703125" style="62" bestFit="1" customWidth="1"/>
    <col min="5" max="5" width="9.140625" style="62"/>
    <col min="6" max="6" width="13.42578125" style="62" bestFit="1" customWidth="1"/>
    <col min="7" max="7" width="16.28515625" style="62" bestFit="1" customWidth="1"/>
    <col min="8" max="8" width="14.28515625" style="62" customWidth="1"/>
    <col min="9" max="9" width="4.28515625" style="62" customWidth="1"/>
    <col min="10" max="10" width="20.42578125" style="62" customWidth="1"/>
    <col min="11" max="251" width="9.140625" style="62"/>
    <col min="252" max="252" width="11.28515625" style="62" customWidth="1"/>
    <col min="253" max="253" width="9.140625" style="62"/>
    <col min="254" max="254" width="64.42578125" style="62" bestFit="1" customWidth="1"/>
    <col min="255" max="255" width="9.140625" style="62"/>
    <col min="256" max="256" width="13.42578125" style="62" bestFit="1" customWidth="1"/>
    <col min="257" max="257" width="16.28515625" style="62" bestFit="1" customWidth="1"/>
    <col min="258" max="258" width="13.140625" style="62" bestFit="1" customWidth="1"/>
    <col min="259" max="507" width="9.140625" style="62"/>
    <col min="508" max="508" width="11.28515625" style="62" customWidth="1"/>
    <col min="509" max="509" width="9.140625" style="62"/>
    <col min="510" max="510" width="64.42578125" style="62" bestFit="1" customWidth="1"/>
    <col min="511" max="511" width="9.140625" style="62"/>
    <col min="512" max="512" width="13.42578125" style="62" bestFit="1" customWidth="1"/>
    <col min="513" max="513" width="16.28515625" style="62" bestFit="1" customWidth="1"/>
    <col min="514" max="514" width="13.140625" style="62" bestFit="1" customWidth="1"/>
    <col min="515" max="763" width="9.140625" style="62"/>
    <col min="764" max="764" width="11.28515625" style="62" customWidth="1"/>
    <col min="765" max="765" width="9.140625" style="62"/>
    <col min="766" max="766" width="64.42578125" style="62" bestFit="1" customWidth="1"/>
    <col min="767" max="767" width="9.140625" style="62"/>
    <col min="768" max="768" width="13.42578125" style="62" bestFit="1" customWidth="1"/>
    <col min="769" max="769" width="16.28515625" style="62" bestFit="1" customWidth="1"/>
    <col min="770" max="770" width="13.140625" style="62" bestFit="1" customWidth="1"/>
    <col min="771" max="1019" width="9.140625" style="62"/>
    <col min="1020" max="1020" width="11.28515625" style="62" customWidth="1"/>
    <col min="1021" max="1021" width="9.140625" style="62"/>
    <col min="1022" max="1022" width="64.42578125" style="62" bestFit="1" customWidth="1"/>
    <col min="1023" max="1023" width="9.140625" style="62"/>
    <col min="1024" max="1024" width="13.42578125" style="62" bestFit="1" customWidth="1"/>
    <col min="1025" max="1025" width="16.28515625" style="62" bestFit="1" customWidth="1"/>
    <col min="1026" max="1026" width="13.140625" style="62" bestFit="1" customWidth="1"/>
    <col min="1027" max="1275" width="9.140625" style="62"/>
    <col min="1276" max="1276" width="11.28515625" style="62" customWidth="1"/>
    <col min="1277" max="1277" width="9.140625" style="62"/>
    <col min="1278" max="1278" width="64.42578125" style="62" bestFit="1" customWidth="1"/>
    <col min="1279" max="1279" width="9.140625" style="62"/>
    <col min="1280" max="1280" width="13.42578125" style="62" bestFit="1" customWidth="1"/>
    <col min="1281" max="1281" width="16.28515625" style="62" bestFit="1" customWidth="1"/>
    <col min="1282" max="1282" width="13.140625" style="62" bestFit="1" customWidth="1"/>
    <col min="1283" max="1531" width="9.140625" style="62"/>
    <col min="1532" max="1532" width="11.28515625" style="62" customWidth="1"/>
    <col min="1533" max="1533" width="9.140625" style="62"/>
    <col min="1534" max="1534" width="64.42578125" style="62" bestFit="1" customWidth="1"/>
    <col min="1535" max="1535" width="9.140625" style="62"/>
    <col min="1536" max="1536" width="13.42578125" style="62" bestFit="1" customWidth="1"/>
    <col min="1537" max="1537" width="16.28515625" style="62" bestFit="1" customWidth="1"/>
    <col min="1538" max="1538" width="13.140625" style="62" bestFit="1" customWidth="1"/>
    <col min="1539" max="1787" width="9.140625" style="62"/>
    <col min="1788" max="1788" width="11.28515625" style="62" customWidth="1"/>
    <col min="1789" max="1789" width="9.140625" style="62"/>
    <col min="1790" max="1790" width="64.42578125" style="62" bestFit="1" customWidth="1"/>
    <col min="1791" max="1791" width="9.140625" style="62"/>
    <col min="1792" max="1792" width="13.42578125" style="62" bestFit="1" customWidth="1"/>
    <col min="1793" max="1793" width="16.28515625" style="62" bestFit="1" customWidth="1"/>
    <col min="1794" max="1794" width="13.140625" style="62" bestFit="1" customWidth="1"/>
    <col min="1795" max="2043" width="9.140625" style="62"/>
    <col min="2044" max="2044" width="11.28515625" style="62" customWidth="1"/>
    <col min="2045" max="2045" width="9.140625" style="62"/>
    <col min="2046" max="2046" width="64.42578125" style="62" bestFit="1" customWidth="1"/>
    <col min="2047" max="2047" width="9.140625" style="62"/>
    <col min="2048" max="2048" width="13.42578125" style="62" bestFit="1" customWidth="1"/>
    <col min="2049" max="2049" width="16.28515625" style="62" bestFit="1" customWidth="1"/>
    <col min="2050" max="2050" width="13.140625" style="62" bestFit="1" customWidth="1"/>
    <col min="2051" max="2299" width="9.140625" style="62"/>
    <col min="2300" max="2300" width="11.28515625" style="62" customWidth="1"/>
    <col min="2301" max="2301" width="9.140625" style="62"/>
    <col min="2302" max="2302" width="64.42578125" style="62" bestFit="1" customWidth="1"/>
    <col min="2303" max="2303" width="9.140625" style="62"/>
    <col min="2304" max="2304" width="13.42578125" style="62" bestFit="1" customWidth="1"/>
    <col min="2305" max="2305" width="16.28515625" style="62" bestFit="1" customWidth="1"/>
    <col min="2306" max="2306" width="13.140625" style="62" bestFit="1" customWidth="1"/>
    <col min="2307" max="2555" width="9.140625" style="62"/>
    <col min="2556" max="2556" width="11.28515625" style="62" customWidth="1"/>
    <col min="2557" max="2557" width="9.140625" style="62"/>
    <col min="2558" max="2558" width="64.42578125" style="62" bestFit="1" customWidth="1"/>
    <col min="2559" max="2559" width="9.140625" style="62"/>
    <col min="2560" max="2560" width="13.42578125" style="62" bestFit="1" customWidth="1"/>
    <col min="2561" max="2561" width="16.28515625" style="62" bestFit="1" customWidth="1"/>
    <col min="2562" max="2562" width="13.140625" style="62" bestFit="1" customWidth="1"/>
    <col min="2563" max="2811" width="9.140625" style="62"/>
    <col min="2812" max="2812" width="11.28515625" style="62" customWidth="1"/>
    <col min="2813" max="2813" width="9.140625" style="62"/>
    <col min="2814" max="2814" width="64.42578125" style="62" bestFit="1" customWidth="1"/>
    <col min="2815" max="2815" width="9.140625" style="62"/>
    <col min="2816" max="2816" width="13.42578125" style="62" bestFit="1" customWidth="1"/>
    <col min="2817" max="2817" width="16.28515625" style="62" bestFit="1" customWidth="1"/>
    <col min="2818" max="2818" width="13.140625" style="62" bestFit="1" customWidth="1"/>
    <col min="2819" max="3067" width="9.140625" style="62"/>
    <col min="3068" max="3068" width="11.28515625" style="62" customWidth="1"/>
    <col min="3069" max="3069" width="9.140625" style="62"/>
    <col min="3070" max="3070" width="64.42578125" style="62" bestFit="1" customWidth="1"/>
    <col min="3071" max="3071" width="9.140625" style="62"/>
    <col min="3072" max="3072" width="13.42578125" style="62" bestFit="1" customWidth="1"/>
    <col min="3073" max="3073" width="16.28515625" style="62" bestFit="1" customWidth="1"/>
    <col min="3074" max="3074" width="13.140625" style="62" bestFit="1" customWidth="1"/>
    <col min="3075" max="3323" width="9.140625" style="62"/>
    <col min="3324" max="3324" width="11.28515625" style="62" customWidth="1"/>
    <col min="3325" max="3325" width="9.140625" style="62"/>
    <col min="3326" max="3326" width="64.42578125" style="62" bestFit="1" customWidth="1"/>
    <col min="3327" max="3327" width="9.140625" style="62"/>
    <col min="3328" max="3328" width="13.42578125" style="62" bestFit="1" customWidth="1"/>
    <col min="3329" max="3329" width="16.28515625" style="62" bestFit="1" customWidth="1"/>
    <col min="3330" max="3330" width="13.140625" style="62" bestFit="1" customWidth="1"/>
    <col min="3331" max="3579" width="9.140625" style="62"/>
    <col min="3580" max="3580" width="11.28515625" style="62" customWidth="1"/>
    <col min="3581" max="3581" width="9.140625" style="62"/>
    <col min="3582" max="3582" width="64.42578125" style="62" bestFit="1" customWidth="1"/>
    <col min="3583" max="3583" width="9.140625" style="62"/>
    <col min="3584" max="3584" width="13.42578125" style="62" bestFit="1" customWidth="1"/>
    <col min="3585" max="3585" width="16.28515625" style="62" bestFit="1" customWidth="1"/>
    <col min="3586" max="3586" width="13.140625" style="62" bestFit="1" customWidth="1"/>
    <col min="3587" max="3835" width="9.140625" style="62"/>
    <col min="3836" max="3836" width="11.28515625" style="62" customWidth="1"/>
    <col min="3837" max="3837" width="9.140625" style="62"/>
    <col min="3838" max="3838" width="64.42578125" style="62" bestFit="1" customWidth="1"/>
    <col min="3839" max="3839" width="9.140625" style="62"/>
    <col min="3840" max="3840" width="13.42578125" style="62" bestFit="1" customWidth="1"/>
    <col min="3841" max="3841" width="16.28515625" style="62" bestFit="1" customWidth="1"/>
    <col min="3842" max="3842" width="13.140625" style="62" bestFit="1" customWidth="1"/>
    <col min="3843" max="4091" width="9.140625" style="62"/>
    <col min="4092" max="4092" width="11.28515625" style="62" customWidth="1"/>
    <col min="4093" max="4093" width="9.140625" style="62"/>
    <col min="4094" max="4094" width="64.42578125" style="62" bestFit="1" customWidth="1"/>
    <col min="4095" max="4095" width="9.140625" style="62"/>
    <col min="4096" max="4096" width="13.42578125" style="62" bestFit="1" customWidth="1"/>
    <col min="4097" max="4097" width="16.28515625" style="62" bestFit="1" customWidth="1"/>
    <col min="4098" max="4098" width="13.140625" style="62" bestFit="1" customWidth="1"/>
    <col min="4099" max="4347" width="9.140625" style="62"/>
    <col min="4348" max="4348" width="11.28515625" style="62" customWidth="1"/>
    <col min="4349" max="4349" width="9.140625" style="62"/>
    <col min="4350" max="4350" width="64.42578125" style="62" bestFit="1" customWidth="1"/>
    <col min="4351" max="4351" width="9.140625" style="62"/>
    <col min="4352" max="4352" width="13.42578125" style="62" bestFit="1" customWidth="1"/>
    <col min="4353" max="4353" width="16.28515625" style="62" bestFit="1" customWidth="1"/>
    <col min="4354" max="4354" width="13.140625" style="62" bestFit="1" customWidth="1"/>
    <col min="4355" max="4603" width="9.140625" style="62"/>
    <col min="4604" max="4604" width="11.28515625" style="62" customWidth="1"/>
    <col min="4605" max="4605" width="9.140625" style="62"/>
    <col min="4606" max="4606" width="64.42578125" style="62" bestFit="1" customWidth="1"/>
    <col min="4607" max="4607" width="9.140625" style="62"/>
    <col min="4608" max="4608" width="13.42578125" style="62" bestFit="1" customWidth="1"/>
    <col min="4609" max="4609" width="16.28515625" style="62" bestFit="1" customWidth="1"/>
    <col min="4610" max="4610" width="13.140625" style="62" bestFit="1" customWidth="1"/>
    <col min="4611" max="4859" width="9.140625" style="62"/>
    <col min="4860" max="4860" width="11.28515625" style="62" customWidth="1"/>
    <col min="4861" max="4861" width="9.140625" style="62"/>
    <col min="4862" max="4862" width="64.42578125" style="62" bestFit="1" customWidth="1"/>
    <col min="4863" max="4863" width="9.140625" style="62"/>
    <col min="4864" max="4864" width="13.42578125" style="62" bestFit="1" customWidth="1"/>
    <col min="4865" max="4865" width="16.28515625" style="62" bestFit="1" customWidth="1"/>
    <col min="4866" max="4866" width="13.140625" style="62" bestFit="1" customWidth="1"/>
    <col min="4867" max="5115" width="9.140625" style="62"/>
    <col min="5116" max="5116" width="11.28515625" style="62" customWidth="1"/>
    <col min="5117" max="5117" width="9.140625" style="62"/>
    <col min="5118" max="5118" width="64.42578125" style="62" bestFit="1" customWidth="1"/>
    <col min="5119" max="5119" width="9.140625" style="62"/>
    <col min="5120" max="5120" width="13.42578125" style="62" bestFit="1" customWidth="1"/>
    <col min="5121" max="5121" width="16.28515625" style="62" bestFit="1" customWidth="1"/>
    <col min="5122" max="5122" width="13.140625" style="62" bestFit="1" customWidth="1"/>
    <col min="5123" max="5371" width="9.140625" style="62"/>
    <col min="5372" max="5372" width="11.28515625" style="62" customWidth="1"/>
    <col min="5373" max="5373" width="9.140625" style="62"/>
    <col min="5374" max="5374" width="64.42578125" style="62" bestFit="1" customWidth="1"/>
    <col min="5375" max="5375" width="9.140625" style="62"/>
    <col min="5376" max="5376" width="13.42578125" style="62" bestFit="1" customWidth="1"/>
    <col min="5377" max="5377" width="16.28515625" style="62" bestFit="1" customWidth="1"/>
    <col min="5378" max="5378" width="13.140625" style="62" bestFit="1" customWidth="1"/>
    <col min="5379" max="5627" width="9.140625" style="62"/>
    <col min="5628" max="5628" width="11.28515625" style="62" customWidth="1"/>
    <col min="5629" max="5629" width="9.140625" style="62"/>
    <col min="5630" max="5630" width="64.42578125" style="62" bestFit="1" customWidth="1"/>
    <col min="5631" max="5631" width="9.140625" style="62"/>
    <col min="5632" max="5632" width="13.42578125" style="62" bestFit="1" customWidth="1"/>
    <col min="5633" max="5633" width="16.28515625" style="62" bestFit="1" customWidth="1"/>
    <col min="5634" max="5634" width="13.140625" style="62" bestFit="1" customWidth="1"/>
    <col min="5635" max="5883" width="9.140625" style="62"/>
    <col min="5884" max="5884" width="11.28515625" style="62" customWidth="1"/>
    <col min="5885" max="5885" width="9.140625" style="62"/>
    <col min="5886" max="5886" width="64.42578125" style="62" bestFit="1" customWidth="1"/>
    <col min="5887" max="5887" width="9.140625" style="62"/>
    <col min="5888" max="5888" width="13.42578125" style="62" bestFit="1" customWidth="1"/>
    <col min="5889" max="5889" width="16.28515625" style="62" bestFit="1" customWidth="1"/>
    <col min="5890" max="5890" width="13.140625" style="62" bestFit="1" customWidth="1"/>
    <col min="5891" max="6139" width="9.140625" style="62"/>
    <col min="6140" max="6140" width="11.28515625" style="62" customWidth="1"/>
    <col min="6141" max="6141" width="9.140625" style="62"/>
    <col min="6142" max="6142" width="64.42578125" style="62" bestFit="1" customWidth="1"/>
    <col min="6143" max="6143" width="9.140625" style="62"/>
    <col min="6144" max="6144" width="13.42578125" style="62" bestFit="1" customWidth="1"/>
    <col min="6145" max="6145" width="16.28515625" style="62" bestFit="1" customWidth="1"/>
    <col min="6146" max="6146" width="13.140625" style="62" bestFit="1" customWidth="1"/>
    <col min="6147" max="6395" width="9.140625" style="62"/>
    <col min="6396" max="6396" width="11.28515625" style="62" customWidth="1"/>
    <col min="6397" max="6397" width="9.140625" style="62"/>
    <col min="6398" max="6398" width="64.42578125" style="62" bestFit="1" customWidth="1"/>
    <col min="6399" max="6399" width="9.140625" style="62"/>
    <col min="6400" max="6400" width="13.42578125" style="62" bestFit="1" customWidth="1"/>
    <col min="6401" max="6401" width="16.28515625" style="62" bestFit="1" customWidth="1"/>
    <col min="6402" max="6402" width="13.140625" style="62" bestFit="1" customWidth="1"/>
    <col min="6403" max="6651" width="9.140625" style="62"/>
    <col min="6652" max="6652" width="11.28515625" style="62" customWidth="1"/>
    <col min="6653" max="6653" width="9.140625" style="62"/>
    <col min="6654" max="6654" width="64.42578125" style="62" bestFit="1" customWidth="1"/>
    <col min="6655" max="6655" width="9.140625" style="62"/>
    <col min="6656" max="6656" width="13.42578125" style="62" bestFit="1" customWidth="1"/>
    <col min="6657" max="6657" width="16.28515625" style="62" bestFit="1" customWidth="1"/>
    <col min="6658" max="6658" width="13.140625" style="62" bestFit="1" customWidth="1"/>
    <col min="6659" max="6907" width="9.140625" style="62"/>
    <col min="6908" max="6908" width="11.28515625" style="62" customWidth="1"/>
    <col min="6909" max="6909" width="9.140625" style="62"/>
    <col min="6910" max="6910" width="64.42578125" style="62" bestFit="1" customWidth="1"/>
    <col min="6911" max="6911" width="9.140625" style="62"/>
    <col min="6912" max="6912" width="13.42578125" style="62" bestFit="1" customWidth="1"/>
    <col min="6913" max="6913" width="16.28515625" style="62" bestFit="1" customWidth="1"/>
    <col min="6914" max="6914" width="13.140625" style="62" bestFit="1" customWidth="1"/>
    <col min="6915" max="7163" width="9.140625" style="62"/>
    <col min="7164" max="7164" width="11.28515625" style="62" customWidth="1"/>
    <col min="7165" max="7165" width="9.140625" style="62"/>
    <col min="7166" max="7166" width="64.42578125" style="62" bestFit="1" customWidth="1"/>
    <col min="7167" max="7167" width="9.140625" style="62"/>
    <col min="7168" max="7168" width="13.42578125" style="62" bestFit="1" customWidth="1"/>
    <col min="7169" max="7169" width="16.28515625" style="62" bestFit="1" customWidth="1"/>
    <col min="7170" max="7170" width="13.140625" style="62" bestFit="1" customWidth="1"/>
    <col min="7171" max="7419" width="9.140625" style="62"/>
    <col min="7420" max="7420" width="11.28515625" style="62" customWidth="1"/>
    <col min="7421" max="7421" width="9.140625" style="62"/>
    <col min="7422" max="7422" width="64.42578125" style="62" bestFit="1" customWidth="1"/>
    <col min="7423" max="7423" width="9.140625" style="62"/>
    <col min="7424" max="7424" width="13.42578125" style="62" bestFit="1" customWidth="1"/>
    <col min="7425" max="7425" width="16.28515625" style="62" bestFit="1" customWidth="1"/>
    <col min="7426" max="7426" width="13.140625" style="62" bestFit="1" customWidth="1"/>
    <col min="7427" max="7675" width="9.140625" style="62"/>
    <col min="7676" max="7676" width="11.28515625" style="62" customWidth="1"/>
    <col min="7677" max="7677" width="9.140625" style="62"/>
    <col min="7678" max="7678" width="64.42578125" style="62" bestFit="1" customWidth="1"/>
    <col min="7679" max="7679" width="9.140625" style="62"/>
    <col min="7680" max="7680" width="13.42578125" style="62" bestFit="1" customWidth="1"/>
    <col min="7681" max="7681" width="16.28515625" style="62" bestFit="1" customWidth="1"/>
    <col min="7682" max="7682" width="13.140625" style="62" bestFit="1" customWidth="1"/>
    <col min="7683" max="7931" width="9.140625" style="62"/>
    <col min="7932" max="7932" width="11.28515625" style="62" customWidth="1"/>
    <col min="7933" max="7933" width="9.140625" style="62"/>
    <col min="7934" max="7934" width="64.42578125" style="62" bestFit="1" customWidth="1"/>
    <col min="7935" max="7935" width="9.140625" style="62"/>
    <col min="7936" max="7936" width="13.42578125" style="62" bestFit="1" customWidth="1"/>
    <col min="7937" max="7937" width="16.28515625" style="62" bestFit="1" customWidth="1"/>
    <col min="7938" max="7938" width="13.140625" style="62" bestFit="1" customWidth="1"/>
    <col min="7939" max="8187" width="9.140625" style="62"/>
    <col min="8188" max="8188" width="11.28515625" style="62" customWidth="1"/>
    <col min="8189" max="8189" width="9.140625" style="62"/>
    <col min="8190" max="8190" width="64.42578125" style="62" bestFit="1" customWidth="1"/>
    <col min="8191" max="8191" width="9.140625" style="62"/>
    <col min="8192" max="8192" width="13.42578125" style="62" bestFit="1" customWidth="1"/>
    <col min="8193" max="8193" width="16.28515625" style="62" bestFit="1" customWidth="1"/>
    <col min="8194" max="8194" width="13.140625" style="62" bestFit="1" customWidth="1"/>
    <col min="8195" max="8443" width="9.140625" style="62"/>
    <col min="8444" max="8444" width="11.28515625" style="62" customWidth="1"/>
    <col min="8445" max="8445" width="9.140625" style="62"/>
    <col min="8446" max="8446" width="64.42578125" style="62" bestFit="1" customWidth="1"/>
    <col min="8447" max="8447" width="9.140625" style="62"/>
    <col min="8448" max="8448" width="13.42578125" style="62" bestFit="1" customWidth="1"/>
    <col min="8449" max="8449" width="16.28515625" style="62" bestFit="1" customWidth="1"/>
    <col min="8450" max="8450" width="13.140625" style="62" bestFit="1" customWidth="1"/>
    <col min="8451" max="8699" width="9.140625" style="62"/>
    <col min="8700" max="8700" width="11.28515625" style="62" customWidth="1"/>
    <col min="8701" max="8701" width="9.140625" style="62"/>
    <col min="8702" max="8702" width="64.42578125" style="62" bestFit="1" customWidth="1"/>
    <col min="8703" max="8703" width="9.140625" style="62"/>
    <col min="8704" max="8704" width="13.42578125" style="62" bestFit="1" customWidth="1"/>
    <col min="8705" max="8705" width="16.28515625" style="62" bestFit="1" customWidth="1"/>
    <col min="8706" max="8706" width="13.140625" style="62" bestFit="1" customWidth="1"/>
    <col min="8707" max="8955" width="9.140625" style="62"/>
    <col min="8956" max="8956" width="11.28515625" style="62" customWidth="1"/>
    <col min="8957" max="8957" width="9.140625" style="62"/>
    <col min="8958" max="8958" width="64.42578125" style="62" bestFit="1" customWidth="1"/>
    <col min="8959" max="8959" width="9.140625" style="62"/>
    <col min="8960" max="8960" width="13.42578125" style="62" bestFit="1" customWidth="1"/>
    <col min="8961" max="8961" width="16.28515625" style="62" bestFit="1" customWidth="1"/>
    <col min="8962" max="8962" width="13.140625" style="62" bestFit="1" customWidth="1"/>
    <col min="8963" max="9211" width="9.140625" style="62"/>
    <col min="9212" max="9212" width="11.28515625" style="62" customWidth="1"/>
    <col min="9213" max="9213" width="9.140625" style="62"/>
    <col min="9214" max="9214" width="64.42578125" style="62" bestFit="1" customWidth="1"/>
    <col min="9215" max="9215" width="9.140625" style="62"/>
    <col min="9216" max="9216" width="13.42578125" style="62" bestFit="1" customWidth="1"/>
    <col min="9217" max="9217" width="16.28515625" style="62" bestFit="1" customWidth="1"/>
    <col min="9218" max="9218" width="13.140625" style="62" bestFit="1" customWidth="1"/>
    <col min="9219" max="9467" width="9.140625" style="62"/>
    <col min="9468" max="9468" width="11.28515625" style="62" customWidth="1"/>
    <col min="9469" max="9469" width="9.140625" style="62"/>
    <col min="9470" max="9470" width="64.42578125" style="62" bestFit="1" customWidth="1"/>
    <col min="9471" max="9471" width="9.140625" style="62"/>
    <col min="9472" max="9472" width="13.42578125" style="62" bestFit="1" customWidth="1"/>
    <col min="9473" max="9473" width="16.28515625" style="62" bestFit="1" customWidth="1"/>
    <col min="9474" max="9474" width="13.140625" style="62" bestFit="1" customWidth="1"/>
    <col min="9475" max="9723" width="9.140625" style="62"/>
    <col min="9724" max="9724" width="11.28515625" style="62" customWidth="1"/>
    <col min="9725" max="9725" width="9.140625" style="62"/>
    <col min="9726" max="9726" width="64.42578125" style="62" bestFit="1" customWidth="1"/>
    <col min="9727" max="9727" width="9.140625" style="62"/>
    <col min="9728" max="9728" width="13.42578125" style="62" bestFit="1" customWidth="1"/>
    <col min="9729" max="9729" width="16.28515625" style="62" bestFit="1" customWidth="1"/>
    <col min="9730" max="9730" width="13.140625" style="62" bestFit="1" customWidth="1"/>
    <col min="9731" max="9979" width="9.140625" style="62"/>
    <col min="9980" max="9980" width="11.28515625" style="62" customWidth="1"/>
    <col min="9981" max="9981" width="9.140625" style="62"/>
    <col min="9982" max="9982" width="64.42578125" style="62" bestFit="1" customWidth="1"/>
    <col min="9983" max="9983" width="9.140625" style="62"/>
    <col min="9984" max="9984" width="13.42578125" style="62" bestFit="1" customWidth="1"/>
    <col min="9985" max="9985" width="16.28515625" style="62" bestFit="1" customWidth="1"/>
    <col min="9986" max="9986" width="13.140625" style="62" bestFit="1" customWidth="1"/>
    <col min="9987" max="10235" width="9.140625" style="62"/>
    <col min="10236" max="10236" width="11.28515625" style="62" customWidth="1"/>
    <col min="10237" max="10237" width="9.140625" style="62"/>
    <col min="10238" max="10238" width="64.42578125" style="62" bestFit="1" customWidth="1"/>
    <col min="10239" max="10239" width="9.140625" style="62"/>
    <col min="10240" max="10240" width="13.42578125" style="62" bestFit="1" customWidth="1"/>
    <col min="10241" max="10241" width="16.28515625" style="62" bestFit="1" customWidth="1"/>
    <col min="10242" max="10242" width="13.140625" style="62" bestFit="1" customWidth="1"/>
    <col min="10243" max="10491" width="9.140625" style="62"/>
    <col min="10492" max="10492" width="11.28515625" style="62" customWidth="1"/>
    <col min="10493" max="10493" width="9.140625" style="62"/>
    <col min="10494" max="10494" width="64.42578125" style="62" bestFit="1" customWidth="1"/>
    <col min="10495" max="10495" width="9.140625" style="62"/>
    <col min="10496" max="10496" width="13.42578125" style="62" bestFit="1" customWidth="1"/>
    <col min="10497" max="10497" width="16.28515625" style="62" bestFit="1" customWidth="1"/>
    <col min="10498" max="10498" width="13.140625" style="62" bestFit="1" customWidth="1"/>
    <col min="10499" max="10747" width="9.140625" style="62"/>
    <col min="10748" max="10748" width="11.28515625" style="62" customWidth="1"/>
    <col min="10749" max="10749" width="9.140625" style="62"/>
    <col min="10750" max="10750" width="64.42578125" style="62" bestFit="1" customWidth="1"/>
    <col min="10751" max="10751" width="9.140625" style="62"/>
    <col min="10752" max="10752" width="13.42578125" style="62" bestFit="1" customWidth="1"/>
    <col min="10753" max="10753" width="16.28515625" style="62" bestFit="1" customWidth="1"/>
    <col min="10754" max="10754" width="13.140625" style="62" bestFit="1" customWidth="1"/>
    <col min="10755" max="11003" width="9.140625" style="62"/>
    <col min="11004" max="11004" width="11.28515625" style="62" customWidth="1"/>
    <col min="11005" max="11005" width="9.140625" style="62"/>
    <col min="11006" max="11006" width="64.42578125" style="62" bestFit="1" customWidth="1"/>
    <col min="11007" max="11007" width="9.140625" style="62"/>
    <col min="11008" max="11008" width="13.42578125" style="62" bestFit="1" customWidth="1"/>
    <col min="11009" max="11009" width="16.28515625" style="62" bestFit="1" customWidth="1"/>
    <col min="11010" max="11010" width="13.140625" style="62" bestFit="1" customWidth="1"/>
    <col min="11011" max="11259" width="9.140625" style="62"/>
    <col min="11260" max="11260" width="11.28515625" style="62" customWidth="1"/>
    <col min="11261" max="11261" width="9.140625" style="62"/>
    <col min="11262" max="11262" width="64.42578125" style="62" bestFit="1" customWidth="1"/>
    <col min="11263" max="11263" width="9.140625" style="62"/>
    <col min="11264" max="11264" width="13.42578125" style="62" bestFit="1" customWidth="1"/>
    <col min="11265" max="11265" width="16.28515625" style="62" bestFit="1" customWidth="1"/>
    <col min="11266" max="11266" width="13.140625" style="62" bestFit="1" customWidth="1"/>
    <col min="11267" max="11515" width="9.140625" style="62"/>
    <col min="11516" max="11516" width="11.28515625" style="62" customWidth="1"/>
    <col min="11517" max="11517" width="9.140625" style="62"/>
    <col min="11518" max="11518" width="64.42578125" style="62" bestFit="1" customWidth="1"/>
    <col min="11519" max="11519" width="9.140625" style="62"/>
    <col min="11520" max="11520" width="13.42578125" style="62" bestFit="1" customWidth="1"/>
    <col min="11521" max="11521" width="16.28515625" style="62" bestFit="1" customWidth="1"/>
    <col min="11522" max="11522" width="13.140625" style="62" bestFit="1" customWidth="1"/>
    <col min="11523" max="11771" width="9.140625" style="62"/>
    <col min="11772" max="11772" width="11.28515625" style="62" customWidth="1"/>
    <col min="11773" max="11773" width="9.140625" style="62"/>
    <col min="11774" max="11774" width="64.42578125" style="62" bestFit="1" customWidth="1"/>
    <col min="11775" max="11775" width="9.140625" style="62"/>
    <col min="11776" max="11776" width="13.42578125" style="62" bestFit="1" customWidth="1"/>
    <col min="11777" max="11777" width="16.28515625" style="62" bestFit="1" customWidth="1"/>
    <col min="11778" max="11778" width="13.140625" style="62" bestFit="1" customWidth="1"/>
    <col min="11779" max="12027" width="9.140625" style="62"/>
    <col min="12028" max="12028" width="11.28515625" style="62" customWidth="1"/>
    <col min="12029" max="12029" width="9.140625" style="62"/>
    <col min="12030" max="12030" width="64.42578125" style="62" bestFit="1" customWidth="1"/>
    <col min="12031" max="12031" width="9.140625" style="62"/>
    <col min="12032" max="12032" width="13.42578125" style="62" bestFit="1" customWidth="1"/>
    <col min="12033" max="12033" width="16.28515625" style="62" bestFit="1" customWidth="1"/>
    <col min="12034" max="12034" width="13.140625" style="62" bestFit="1" customWidth="1"/>
    <col min="12035" max="12283" width="9.140625" style="62"/>
    <col min="12284" max="12284" width="11.28515625" style="62" customWidth="1"/>
    <col min="12285" max="12285" width="9.140625" style="62"/>
    <col min="12286" max="12286" width="64.42578125" style="62" bestFit="1" customWidth="1"/>
    <col min="12287" max="12287" width="9.140625" style="62"/>
    <col min="12288" max="12288" width="13.42578125" style="62" bestFit="1" customWidth="1"/>
    <col min="12289" max="12289" width="16.28515625" style="62" bestFit="1" customWidth="1"/>
    <col min="12290" max="12290" width="13.140625" style="62" bestFit="1" customWidth="1"/>
    <col min="12291" max="12539" width="9.140625" style="62"/>
    <col min="12540" max="12540" width="11.28515625" style="62" customWidth="1"/>
    <col min="12541" max="12541" width="9.140625" style="62"/>
    <col min="12542" max="12542" width="64.42578125" style="62" bestFit="1" customWidth="1"/>
    <col min="12543" max="12543" width="9.140625" style="62"/>
    <col min="12544" max="12544" width="13.42578125" style="62" bestFit="1" customWidth="1"/>
    <col min="12545" max="12545" width="16.28515625" style="62" bestFit="1" customWidth="1"/>
    <col min="12546" max="12546" width="13.140625" style="62" bestFit="1" customWidth="1"/>
    <col min="12547" max="12795" width="9.140625" style="62"/>
    <col min="12796" max="12796" width="11.28515625" style="62" customWidth="1"/>
    <col min="12797" max="12797" width="9.140625" style="62"/>
    <col min="12798" max="12798" width="64.42578125" style="62" bestFit="1" customWidth="1"/>
    <col min="12799" max="12799" width="9.140625" style="62"/>
    <col min="12800" max="12800" width="13.42578125" style="62" bestFit="1" customWidth="1"/>
    <col min="12801" max="12801" width="16.28515625" style="62" bestFit="1" customWidth="1"/>
    <col min="12802" max="12802" width="13.140625" style="62" bestFit="1" customWidth="1"/>
    <col min="12803" max="13051" width="9.140625" style="62"/>
    <col min="13052" max="13052" width="11.28515625" style="62" customWidth="1"/>
    <col min="13053" max="13053" width="9.140625" style="62"/>
    <col min="13054" max="13054" width="64.42578125" style="62" bestFit="1" customWidth="1"/>
    <col min="13055" max="13055" width="9.140625" style="62"/>
    <col min="13056" max="13056" width="13.42578125" style="62" bestFit="1" customWidth="1"/>
    <col min="13057" max="13057" width="16.28515625" style="62" bestFit="1" customWidth="1"/>
    <col min="13058" max="13058" width="13.140625" style="62" bestFit="1" customWidth="1"/>
    <col min="13059" max="13307" width="9.140625" style="62"/>
    <col min="13308" max="13308" width="11.28515625" style="62" customWidth="1"/>
    <col min="13309" max="13309" width="9.140625" style="62"/>
    <col min="13310" max="13310" width="64.42578125" style="62" bestFit="1" customWidth="1"/>
    <col min="13311" max="13311" width="9.140625" style="62"/>
    <col min="13312" max="13312" width="13.42578125" style="62" bestFit="1" customWidth="1"/>
    <col min="13313" max="13313" width="16.28515625" style="62" bestFit="1" customWidth="1"/>
    <col min="13314" max="13314" width="13.140625" style="62" bestFit="1" customWidth="1"/>
    <col min="13315" max="13563" width="9.140625" style="62"/>
    <col min="13564" max="13564" width="11.28515625" style="62" customWidth="1"/>
    <col min="13565" max="13565" width="9.140625" style="62"/>
    <col min="13566" max="13566" width="64.42578125" style="62" bestFit="1" customWidth="1"/>
    <col min="13567" max="13567" width="9.140625" style="62"/>
    <col min="13568" max="13568" width="13.42578125" style="62" bestFit="1" customWidth="1"/>
    <col min="13569" max="13569" width="16.28515625" style="62" bestFit="1" customWidth="1"/>
    <col min="13570" max="13570" width="13.140625" style="62" bestFit="1" customWidth="1"/>
    <col min="13571" max="13819" width="9.140625" style="62"/>
    <col min="13820" max="13820" width="11.28515625" style="62" customWidth="1"/>
    <col min="13821" max="13821" width="9.140625" style="62"/>
    <col min="13822" max="13822" width="64.42578125" style="62" bestFit="1" customWidth="1"/>
    <col min="13823" max="13823" width="9.140625" style="62"/>
    <col min="13824" max="13824" width="13.42578125" style="62" bestFit="1" customWidth="1"/>
    <col min="13825" max="13825" width="16.28515625" style="62" bestFit="1" customWidth="1"/>
    <col min="13826" max="13826" width="13.140625" style="62" bestFit="1" customWidth="1"/>
    <col min="13827" max="14075" width="9.140625" style="62"/>
    <col min="14076" max="14076" width="11.28515625" style="62" customWidth="1"/>
    <col min="14077" max="14077" width="9.140625" style="62"/>
    <col min="14078" max="14078" width="64.42578125" style="62" bestFit="1" customWidth="1"/>
    <col min="14079" max="14079" width="9.140625" style="62"/>
    <col min="14080" max="14080" width="13.42578125" style="62" bestFit="1" customWidth="1"/>
    <col min="14081" max="14081" width="16.28515625" style="62" bestFit="1" customWidth="1"/>
    <col min="14082" max="14082" width="13.140625" style="62" bestFit="1" customWidth="1"/>
    <col min="14083" max="14331" width="9.140625" style="62"/>
    <col min="14332" max="14332" width="11.28515625" style="62" customWidth="1"/>
    <col min="14333" max="14333" width="9.140625" style="62"/>
    <col min="14334" max="14334" width="64.42578125" style="62" bestFit="1" customWidth="1"/>
    <col min="14335" max="14335" width="9.140625" style="62"/>
    <col min="14336" max="14336" width="13.42578125" style="62" bestFit="1" customWidth="1"/>
    <col min="14337" max="14337" width="16.28515625" style="62" bestFit="1" customWidth="1"/>
    <col min="14338" max="14338" width="13.140625" style="62" bestFit="1" customWidth="1"/>
    <col min="14339" max="14587" width="9.140625" style="62"/>
    <col min="14588" max="14588" width="11.28515625" style="62" customWidth="1"/>
    <col min="14589" max="14589" width="9.140625" style="62"/>
    <col min="14590" max="14590" width="64.42578125" style="62" bestFit="1" customWidth="1"/>
    <col min="14591" max="14591" width="9.140625" style="62"/>
    <col min="14592" max="14592" width="13.42578125" style="62" bestFit="1" customWidth="1"/>
    <col min="14593" max="14593" width="16.28515625" style="62" bestFit="1" customWidth="1"/>
    <col min="14594" max="14594" width="13.140625" style="62" bestFit="1" customWidth="1"/>
    <col min="14595" max="14843" width="9.140625" style="62"/>
    <col min="14844" max="14844" width="11.28515625" style="62" customWidth="1"/>
    <col min="14845" max="14845" width="9.140625" style="62"/>
    <col min="14846" max="14846" width="64.42578125" style="62" bestFit="1" customWidth="1"/>
    <col min="14847" max="14847" width="9.140625" style="62"/>
    <col min="14848" max="14848" width="13.42578125" style="62" bestFit="1" customWidth="1"/>
    <col min="14849" max="14849" width="16.28515625" style="62" bestFit="1" customWidth="1"/>
    <col min="14850" max="14850" width="13.140625" style="62" bestFit="1" customWidth="1"/>
    <col min="14851" max="15099" width="9.140625" style="62"/>
    <col min="15100" max="15100" width="11.28515625" style="62" customWidth="1"/>
    <col min="15101" max="15101" width="9.140625" style="62"/>
    <col min="15102" max="15102" width="64.42578125" style="62" bestFit="1" customWidth="1"/>
    <col min="15103" max="15103" width="9.140625" style="62"/>
    <col min="15104" max="15104" width="13.42578125" style="62" bestFit="1" customWidth="1"/>
    <col min="15105" max="15105" width="16.28515625" style="62" bestFit="1" customWidth="1"/>
    <col min="15106" max="15106" width="13.140625" style="62" bestFit="1" customWidth="1"/>
    <col min="15107" max="15355" width="9.140625" style="62"/>
    <col min="15356" max="15356" width="11.28515625" style="62" customWidth="1"/>
    <col min="15357" max="15357" width="9.140625" style="62"/>
    <col min="15358" max="15358" width="64.42578125" style="62" bestFit="1" customWidth="1"/>
    <col min="15359" max="15359" width="9.140625" style="62"/>
    <col min="15360" max="15360" width="13.42578125" style="62" bestFit="1" customWidth="1"/>
    <col min="15361" max="15361" width="16.28515625" style="62" bestFit="1" customWidth="1"/>
    <col min="15362" max="15362" width="13.140625" style="62" bestFit="1" customWidth="1"/>
    <col min="15363" max="15611" width="9.140625" style="62"/>
    <col min="15612" max="15612" width="11.28515625" style="62" customWidth="1"/>
    <col min="15613" max="15613" width="9.140625" style="62"/>
    <col min="15614" max="15614" width="64.42578125" style="62" bestFit="1" customWidth="1"/>
    <col min="15615" max="15615" width="9.140625" style="62"/>
    <col min="15616" max="15616" width="13.42578125" style="62" bestFit="1" customWidth="1"/>
    <col min="15617" max="15617" width="16.28515625" style="62" bestFit="1" customWidth="1"/>
    <col min="15618" max="15618" width="13.140625" style="62" bestFit="1" customWidth="1"/>
    <col min="15619" max="15867" width="9.140625" style="62"/>
    <col min="15868" max="15868" width="11.28515625" style="62" customWidth="1"/>
    <col min="15869" max="15869" width="9.140625" style="62"/>
    <col min="15870" max="15870" width="64.42578125" style="62" bestFit="1" customWidth="1"/>
    <col min="15871" max="15871" width="9.140625" style="62"/>
    <col min="15872" max="15872" width="13.42578125" style="62" bestFit="1" customWidth="1"/>
    <col min="15873" max="15873" width="16.28515625" style="62" bestFit="1" customWidth="1"/>
    <col min="15874" max="15874" width="13.140625" style="62" bestFit="1" customWidth="1"/>
    <col min="15875" max="16123" width="9.140625" style="62"/>
    <col min="16124" max="16124" width="11.28515625" style="62" customWidth="1"/>
    <col min="16125" max="16125" width="9.140625" style="62"/>
    <col min="16126" max="16126" width="64.42578125" style="62" bestFit="1" customWidth="1"/>
    <col min="16127" max="16127" width="9.140625" style="62"/>
    <col min="16128" max="16128" width="13.42578125" style="62" bestFit="1" customWidth="1"/>
    <col min="16129" max="16129" width="16.28515625" style="62" bestFit="1" customWidth="1"/>
    <col min="16130" max="16130" width="13.140625" style="62" bestFit="1" customWidth="1"/>
    <col min="16131" max="16384" width="9.140625" style="62"/>
  </cols>
  <sheetData>
    <row r="1" spans="1:15">
      <c r="A1" s="343" t="s">
        <v>55</v>
      </c>
      <c r="B1" s="343"/>
      <c r="C1" s="343"/>
      <c r="D1" s="343"/>
      <c r="E1" s="343"/>
      <c r="F1" s="343"/>
      <c r="G1" s="343"/>
      <c r="H1" s="343"/>
    </row>
    <row r="2" spans="1:15" ht="18">
      <c r="A2" s="365" t="s">
        <v>178</v>
      </c>
      <c r="B2" s="365"/>
      <c r="C2" s="365"/>
      <c r="D2" s="365"/>
      <c r="E2" s="365"/>
      <c r="F2" s="365"/>
      <c r="G2" s="365"/>
      <c r="H2" s="365"/>
    </row>
    <row r="3" spans="1:15" ht="6.75" customHeight="1" thickBot="1">
      <c r="A3" s="5"/>
      <c r="B3" s="5"/>
      <c r="C3" s="5"/>
      <c r="D3" s="5"/>
      <c r="E3" s="5"/>
      <c r="F3" s="5"/>
      <c r="G3" s="5"/>
      <c r="H3" s="5"/>
    </row>
    <row r="4" spans="1:15" ht="30.75" customHeight="1">
      <c r="A4" s="361" t="s">
        <v>819</v>
      </c>
      <c r="B4" s="362"/>
      <c r="C4" s="362"/>
      <c r="D4" s="363"/>
      <c r="E4" s="409" t="s">
        <v>56</v>
      </c>
      <c r="F4" s="410"/>
      <c r="G4" s="358" t="s">
        <v>846</v>
      </c>
      <c r="H4" s="360"/>
    </row>
    <row r="5" spans="1:15">
      <c r="A5" s="355" t="s">
        <v>820</v>
      </c>
      <c r="B5" s="356"/>
      <c r="C5" s="356"/>
      <c r="D5" s="357"/>
      <c r="E5" s="411" t="s">
        <v>14</v>
      </c>
      <c r="F5" s="412"/>
      <c r="G5" s="418">
        <f>BDI!E31</f>
        <v>0.22877342476291962</v>
      </c>
      <c r="H5" s="382"/>
    </row>
    <row r="6" spans="1:15" ht="13.5" thickBot="1">
      <c r="A6" s="344" t="s">
        <v>847</v>
      </c>
      <c r="B6" s="345"/>
      <c r="C6" s="345"/>
      <c r="D6" s="346"/>
      <c r="E6" s="413"/>
      <c r="F6" s="414"/>
      <c r="G6" s="383"/>
      <c r="H6" s="383"/>
    </row>
    <row r="7" spans="1:15" ht="13.5" thickBot="1"/>
    <row r="8" spans="1:15" ht="21" thickBot="1">
      <c r="A8" s="310" t="s">
        <v>220</v>
      </c>
      <c r="B8" s="311"/>
      <c r="C8" s="311"/>
      <c r="D8" s="311"/>
      <c r="E8" s="311"/>
      <c r="F8" s="311"/>
      <c r="G8" s="311"/>
      <c r="H8" s="311"/>
    </row>
    <row r="9" spans="1:15" ht="13.5" thickBot="1"/>
    <row r="10" spans="1:15" ht="15.75" thickBot="1">
      <c r="A10" s="415" t="s">
        <v>139</v>
      </c>
      <c r="B10" s="416"/>
      <c r="C10" s="416"/>
      <c r="D10" s="416"/>
      <c r="E10" s="416"/>
      <c r="F10" s="416"/>
      <c r="G10" s="416"/>
      <c r="H10" s="417"/>
    </row>
    <row r="11" spans="1:15" ht="15">
      <c r="A11" s="403" t="s">
        <v>212</v>
      </c>
      <c r="B11" s="404"/>
      <c r="C11" s="404"/>
      <c r="D11" s="404"/>
      <c r="E11" s="404"/>
      <c r="F11" s="404"/>
      <c r="G11" s="404"/>
      <c r="H11" s="405"/>
    </row>
    <row r="12" spans="1:15">
      <c r="A12" s="69" t="s">
        <v>10</v>
      </c>
      <c r="B12" s="63" t="s">
        <v>24</v>
      </c>
      <c r="C12" s="63" t="s">
        <v>28</v>
      </c>
      <c r="D12" s="63" t="s">
        <v>140</v>
      </c>
      <c r="E12" s="63" t="s">
        <v>141</v>
      </c>
      <c r="F12" s="63" t="s">
        <v>142</v>
      </c>
      <c r="G12" s="63" t="s">
        <v>143</v>
      </c>
      <c r="H12" s="70" t="s">
        <v>144</v>
      </c>
    </row>
    <row r="13" spans="1:15" ht="15.75">
      <c r="A13" s="113">
        <v>1</v>
      </c>
      <c r="B13" s="301">
        <v>93557</v>
      </c>
      <c r="C13" s="65" t="s">
        <v>29</v>
      </c>
      <c r="D13" s="302" t="s">
        <v>837</v>
      </c>
      <c r="E13" s="66" t="s">
        <v>205</v>
      </c>
      <c r="F13" s="68">
        <v>0.02</v>
      </c>
      <c r="G13" s="66">
        <v>191.1</v>
      </c>
      <c r="H13" s="73">
        <f>F13*G13</f>
        <v>3.8220000000000001</v>
      </c>
    </row>
    <row r="14" spans="1:15" ht="15.75">
      <c r="A14" s="71">
        <v>2</v>
      </c>
      <c r="B14" s="67">
        <v>40811</v>
      </c>
      <c r="C14" s="65" t="s">
        <v>29</v>
      </c>
      <c r="D14" s="303" t="s">
        <v>839</v>
      </c>
      <c r="E14" s="66" t="s">
        <v>205</v>
      </c>
      <c r="F14" s="68">
        <v>0.01</v>
      </c>
      <c r="G14" s="66">
        <v>14435.86</v>
      </c>
      <c r="H14" s="73">
        <f>F14*G14</f>
        <v>144.3586</v>
      </c>
      <c r="M14" s="62">
        <v>4.2</v>
      </c>
      <c r="O14" s="62">
        <v>4.2</v>
      </c>
    </row>
    <row r="15" spans="1:15" ht="16.5" thickBot="1">
      <c r="A15" s="71">
        <v>3</v>
      </c>
      <c r="B15" s="67">
        <v>40819</v>
      </c>
      <c r="C15" s="65" t="s">
        <v>29</v>
      </c>
      <c r="D15" s="303" t="s">
        <v>838</v>
      </c>
      <c r="E15" s="66" t="s">
        <v>205</v>
      </c>
      <c r="F15" s="68">
        <v>0.2</v>
      </c>
      <c r="G15" s="66">
        <v>4693.37</v>
      </c>
      <c r="H15" s="73">
        <f>F15*G15</f>
        <v>938.67399999999998</v>
      </c>
    </row>
    <row r="16" spans="1:15" ht="18" thickBot="1">
      <c r="A16" s="400" t="s">
        <v>146</v>
      </c>
      <c r="B16" s="401"/>
      <c r="C16" s="401"/>
      <c r="D16" s="401"/>
      <c r="E16" s="401"/>
      <c r="F16" s="401"/>
      <c r="G16" s="402"/>
      <c r="H16" s="74">
        <f>SUM(H13:H15)</f>
        <v>1086.8545999999999</v>
      </c>
    </row>
    <row r="17" spans="1:8" ht="13.5" thickBot="1"/>
    <row r="18" spans="1:8" ht="15.75" thickBot="1">
      <c r="A18" s="415" t="s">
        <v>138</v>
      </c>
      <c r="B18" s="416"/>
      <c r="C18" s="416"/>
      <c r="D18" s="416"/>
      <c r="E18" s="416"/>
      <c r="F18" s="416"/>
      <c r="G18" s="416"/>
      <c r="H18" s="417"/>
    </row>
    <row r="19" spans="1:8" ht="28.5" customHeight="1">
      <c r="A19" s="403" t="s">
        <v>218</v>
      </c>
      <c r="B19" s="404"/>
      <c r="C19" s="404"/>
      <c r="D19" s="404"/>
      <c r="E19" s="404"/>
      <c r="F19" s="404"/>
      <c r="G19" s="404"/>
      <c r="H19" s="405"/>
    </row>
    <row r="20" spans="1:8">
      <c r="A20" s="69" t="s">
        <v>10</v>
      </c>
      <c r="B20" s="63" t="s">
        <v>24</v>
      </c>
      <c r="C20" s="63" t="s">
        <v>28</v>
      </c>
      <c r="D20" s="63" t="s">
        <v>140</v>
      </c>
      <c r="E20" s="63" t="s">
        <v>141</v>
      </c>
      <c r="F20" s="63" t="s">
        <v>142</v>
      </c>
      <c r="G20" s="63" t="s">
        <v>143</v>
      </c>
      <c r="H20" s="70" t="s">
        <v>144</v>
      </c>
    </row>
    <row r="21" spans="1:8" ht="79.5" thickBot="1">
      <c r="A21" s="113">
        <v>1</v>
      </c>
      <c r="B21" s="64" t="s">
        <v>215</v>
      </c>
      <c r="C21" s="65" t="s">
        <v>29</v>
      </c>
      <c r="D21" s="117" t="s">
        <v>214</v>
      </c>
      <c r="E21" s="66" t="s">
        <v>145</v>
      </c>
      <c r="F21" s="68">
        <v>7</v>
      </c>
      <c r="G21" s="68">
        <v>130.26</v>
      </c>
      <c r="H21" s="73">
        <f>F21*G21</f>
        <v>911.81999999999994</v>
      </c>
    </row>
    <row r="22" spans="1:8" ht="18" thickBot="1">
      <c r="A22" s="400" t="s">
        <v>146</v>
      </c>
      <c r="B22" s="401"/>
      <c r="C22" s="401"/>
      <c r="D22" s="401"/>
      <c r="E22" s="401"/>
      <c r="F22" s="401"/>
      <c r="G22" s="402"/>
      <c r="H22" s="74">
        <f>SUM(H21:H21)</f>
        <v>911.81999999999994</v>
      </c>
    </row>
    <row r="23" spans="1:8" ht="13.5" thickBot="1"/>
    <row r="24" spans="1:8" ht="15.75" thickBot="1">
      <c r="A24" s="415" t="s">
        <v>147</v>
      </c>
      <c r="B24" s="416"/>
      <c r="C24" s="416"/>
      <c r="D24" s="416"/>
      <c r="E24" s="416"/>
      <c r="F24" s="416"/>
      <c r="G24" s="416"/>
      <c r="H24" s="417"/>
    </row>
    <row r="25" spans="1:8" ht="15">
      <c r="A25" s="403" t="s">
        <v>219</v>
      </c>
      <c r="B25" s="404"/>
      <c r="C25" s="404"/>
      <c r="D25" s="404"/>
      <c r="E25" s="404"/>
      <c r="F25" s="404"/>
      <c r="G25" s="404"/>
      <c r="H25" s="405"/>
    </row>
    <row r="26" spans="1:8">
      <c r="A26" s="69" t="s">
        <v>10</v>
      </c>
      <c r="B26" s="63" t="s">
        <v>24</v>
      </c>
      <c r="C26" s="63" t="s">
        <v>28</v>
      </c>
      <c r="D26" s="63" t="s">
        <v>140</v>
      </c>
      <c r="E26" s="63" t="s">
        <v>141</v>
      </c>
      <c r="F26" s="63" t="s">
        <v>142</v>
      </c>
      <c r="G26" s="63" t="s">
        <v>143</v>
      </c>
      <c r="H26" s="70" t="s">
        <v>144</v>
      </c>
    </row>
    <row r="27" spans="1:8" ht="79.5" thickBot="1">
      <c r="A27" s="113">
        <v>1</v>
      </c>
      <c r="B27" s="64" t="s">
        <v>215</v>
      </c>
      <c r="C27" s="65" t="s">
        <v>29</v>
      </c>
      <c r="D27" s="117" t="s">
        <v>214</v>
      </c>
      <c r="E27" s="66" t="s">
        <v>145</v>
      </c>
      <c r="F27" s="68">
        <v>7</v>
      </c>
      <c r="G27" s="68">
        <v>130.26</v>
      </c>
      <c r="H27" s="73">
        <f>F27*G27</f>
        <v>911.81999999999994</v>
      </c>
    </row>
    <row r="28" spans="1:8" ht="18" thickBot="1">
      <c r="A28" s="400" t="s">
        <v>146</v>
      </c>
      <c r="B28" s="401"/>
      <c r="C28" s="401"/>
      <c r="D28" s="401"/>
      <c r="E28" s="401"/>
      <c r="F28" s="401"/>
      <c r="G28" s="402"/>
      <c r="H28" s="74">
        <f>SUM(H27:H27)</f>
        <v>911.81999999999994</v>
      </c>
    </row>
    <row r="29" spans="1:8" ht="18" thickBot="1">
      <c r="A29" s="241"/>
      <c r="B29" s="241"/>
      <c r="C29" s="241"/>
      <c r="D29" s="241"/>
      <c r="E29" s="241"/>
      <c r="F29" s="241"/>
      <c r="G29" s="241"/>
      <c r="H29" s="242"/>
    </row>
    <row r="30" spans="1:8" ht="15.75" thickBot="1">
      <c r="A30" s="406" t="s">
        <v>324</v>
      </c>
      <c r="B30" s="407"/>
      <c r="C30" s="407"/>
      <c r="D30" s="407"/>
      <c r="E30" s="407"/>
      <c r="F30" s="407"/>
      <c r="G30" s="407"/>
      <c r="H30" s="408"/>
    </row>
    <row r="31" spans="1:8" ht="15">
      <c r="A31" s="403" t="s">
        <v>61</v>
      </c>
      <c r="B31" s="404"/>
      <c r="C31" s="404"/>
      <c r="D31" s="404"/>
      <c r="E31" s="404"/>
      <c r="F31" s="404"/>
      <c r="G31" s="404"/>
      <c r="H31" s="405"/>
    </row>
    <row r="32" spans="1:8">
      <c r="A32" s="69" t="s">
        <v>10</v>
      </c>
      <c r="B32" s="63" t="s">
        <v>24</v>
      </c>
      <c r="C32" s="63" t="s">
        <v>28</v>
      </c>
      <c r="D32" s="63" t="s">
        <v>140</v>
      </c>
      <c r="E32" s="63" t="s">
        <v>141</v>
      </c>
      <c r="F32" s="63" t="s">
        <v>142</v>
      </c>
      <c r="G32" s="63" t="s">
        <v>143</v>
      </c>
      <c r="H32" s="70" t="s">
        <v>144</v>
      </c>
    </row>
    <row r="33" spans="1:10" ht="16.5" thickBot="1">
      <c r="A33" s="113">
        <v>6</v>
      </c>
      <c r="B33" s="67">
        <v>88316</v>
      </c>
      <c r="C33" s="65" t="s">
        <v>29</v>
      </c>
      <c r="D33" s="72" t="s">
        <v>148</v>
      </c>
      <c r="E33" s="249" t="s">
        <v>145</v>
      </c>
      <c r="F33" s="68">
        <v>0.5</v>
      </c>
      <c r="G33" s="66">
        <v>13.31</v>
      </c>
      <c r="H33" s="73">
        <f>F33*G33</f>
        <v>6.6550000000000002</v>
      </c>
    </row>
    <row r="34" spans="1:10" ht="18" thickBot="1">
      <c r="A34" s="400" t="s">
        <v>146</v>
      </c>
      <c r="B34" s="401"/>
      <c r="C34" s="401"/>
      <c r="D34" s="401"/>
      <c r="E34" s="401"/>
      <c r="F34" s="401"/>
      <c r="G34" s="402"/>
      <c r="H34" s="74">
        <f>SUM(H33:H33)</f>
        <v>6.6550000000000002</v>
      </c>
    </row>
    <row r="35" spans="1:10" ht="18" thickBot="1">
      <c r="A35" s="241"/>
      <c r="B35" s="241"/>
      <c r="C35" s="241"/>
      <c r="D35" s="241"/>
      <c r="E35" s="241"/>
      <c r="F35" s="241"/>
      <c r="G35" s="241"/>
      <c r="H35" s="242"/>
    </row>
    <row r="36" spans="1:10" ht="15.75" thickBot="1">
      <c r="A36" s="406" t="s">
        <v>789</v>
      </c>
      <c r="B36" s="407"/>
      <c r="C36" s="407"/>
      <c r="D36" s="407"/>
      <c r="E36" s="407"/>
      <c r="F36" s="407"/>
      <c r="G36" s="407"/>
      <c r="H36" s="408"/>
    </row>
    <row r="37" spans="1:10" ht="27.75" customHeight="1">
      <c r="A37" s="403" t="s">
        <v>499</v>
      </c>
      <c r="B37" s="404"/>
      <c r="C37" s="404"/>
      <c r="D37" s="404"/>
      <c r="E37" s="404"/>
      <c r="F37" s="404"/>
      <c r="G37" s="404"/>
      <c r="H37" s="405"/>
    </row>
    <row r="38" spans="1:10">
      <c r="A38" s="69" t="s">
        <v>10</v>
      </c>
      <c r="B38" s="63" t="s">
        <v>24</v>
      </c>
      <c r="C38" s="63" t="s">
        <v>28</v>
      </c>
      <c r="D38" s="63" t="s">
        <v>140</v>
      </c>
      <c r="E38" s="63" t="s">
        <v>141</v>
      </c>
      <c r="F38" s="63" t="s">
        <v>142</v>
      </c>
      <c r="G38" s="63" t="s">
        <v>143</v>
      </c>
      <c r="H38" s="70" t="s">
        <v>144</v>
      </c>
    </row>
    <row r="39" spans="1:10" ht="45">
      <c r="A39" s="113">
        <v>1</v>
      </c>
      <c r="B39" s="67">
        <v>11795</v>
      </c>
      <c r="C39" s="65" t="s">
        <v>29</v>
      </c>
      <c r="D39" s="247" t="s">
        <v>386</v>
      </c>
      <c r="E39" s="249" t="s">
        <v>387</v>
      </c>
      <c r="F39" s="68">
        <f>J39*'Calc Quant reforma'!AC20</f>
        <v>2.4566666666666666</v>
      </c>
      <c r="G39" s="66">
        <v>279.24</v>
      </c>
      <c r="H39" s="73">
        <f>F39*G39</f>
        <v>685.99959999999999</v>
      </c>
      <c r="J39" s="62">
        <f>1.005/0.9</f>
        <v>1.1166666666666665</v>
      </c>
    </row>
    <row r="40" spans="1:10" ht="15.75">
      <c r="A40" s="113">
        <v>2</v>
      </c>
      <c r="B40" s="67">
        <v>4823</v>
      </c>
      <c r="C40" s="65" t="s">
        <v>29</v>
      </c>
      <c r="D40" s="72" t="s">
        <v>384</v>
      </c>
      <c r="E40" s="249" t="s">
        <v>385</v>
      </c>
      <c r="F40" s="68">
        <f>J40*'Calc Quant reforma'!AC20</f>
        <v>1.2779555555555557</v>
      </c>
      <c r="G40" s="66">
        <v>28.62</v>
      </c>
      <c r="H40" s="73">
        <f t="shared" ref="H40:H46" si="0">F40*G40</f>
        <v>36.575088000000008</v>
      </c>
      <c r="J40" s="62">
        <f>0.5228/0.9</f>
        <v>0.5808888888888889</v>
      </c>
    </row>
    <row r="41" spans="1:10" ht="30">
      <c r="A41" s="113">
        <v>3</v>
      </c>
      <c r="B41" s="67">
        <v>7568</v>
      </c>
      <c r="C41" s="65" t="s">
        <v>29</v>
      </c>
      <c r="D41" s="247" t="s">
        <v>388</v>
      </c>
      <c r="E41" s="249" t="s">
        <v>389</v>
      </c>
      <c r="F41" s="68">
        <f>J41*4</f>
        <v>16</v>
      </c>
      <c r="G41" s="66">
        <v>0.61</v>
      </c>
      <c r="H41" s="73">
        <f t="shared" si="0"/>
        <v>9.76</v>
      </c>
      <c r="J41" s="62">
        <f>6/1.5</f>
        <v>4</v>
      </c>
    </row>
    <row r="42" spans="1:10" ht="15.75">
      <c r="A42" s="113">
        <v>4</v>
      </c>
      <c r="B42" s="67">
        <v>37329</v>
      </c>
      <c r="C42" s="65" t="s">
        <v>29</v>
      </c>
      <c r="D42" s="72" t="s">
        <v>390</v>
      </c>
      <c r="E42" s="249" t="s">
        <v>385</v>
      </c>
      <c r="F42" s="68">
        <f>J42*'Calc Quant reforma'!AC20</f>
        <v>8.5800000000000001E-2</v>
      </c>
      <c r="G42" s="66">
        <v>44.3</v>
      </c>
      <c r="H42" s="73">
        <f t="shared" si="0"/>
        <v>3.8009399999999998</v>
      </c>
      <c r="J42" s="62">
        <f>0.0351/0.9</f>
        <v>3.9E-2</v>
      </c>
    </row>
    <row r="43" spans="1:10" ht="15.75">
      <c r="A43" s="113">
        <v>5</v>
      </c>
      <c r="B43" s="67">
        <v>88274</v>
      </c>
      <c r="C43" s="65" t="s">
        <v>29</v>
      </c>
      <c r="D43" s="248" t="s">
        <v>391</v>
      </c>
      <c r="E43" s="249" t="s">
        <v>145</v>
      </c>
      <c r="F43" s="68">
        <f>'Calc Quant reforma'!AC20</f>
        <v>2.2000000000000002</v>
      </c>
      <c r="G43" s="66">
        <v>20.309999999999999</v>
      </c>
      <c r="H43" s="73">
        <f t="shared" si="0"/>
        <v>44.682000000000002</v>
      </c>
      <c r="J43" s="62">
        <f>1.49/0.9</f>
        <v>1.6555555555555554</v>
      </c>
    </row>
    <row r="44" spans="1:10" ht="15.75">
      <c r="A44" s="113">
        <v>6</v>
      </c>
      <c r="B44" s="67">
        <v>88316</v>
      </c>
      <c r="C44" s="65" t="s">
        <v>29</v>
      </c>
      <c r="D44" s="72" t="s">
        <v>148</v>
      </c>
      <c r="E44" s="249" t="s">
        <v>145</v>
      </c>
      <c r="F44" s="68">
        <f>J44*'Calc Quant reforma'!AC20</f>
        <v>2.3955555555555557</v>
      </c>
      <c r="G44" s="66">
        <v>14.03</v>
      </c>
      <c r="H44" s="73">
        <f t="shared" si="0"/>
        <v>33.609644444444442</v>
      </c>
      <c r="J44" s="62">
        <f>0.98/0.9</f>
        <v>1.0888888888888888</v>
      </c>
    </row>
    <row r="45" spans="1:10" ht="30">
      <c r="A45" s="113">
        <v>7</v>
      </c>
      <c r="B45" s="67">
        <v>86911</v>
      </c>
      <c r="C45" s="65" t="s">
        <v>29</v>
      </c>
      <c r="D45" s="247" t="s">
        <v>392</v>
      </c>
      <c r="E45" s="249" t="s">
        <v>389</v>
      </c>
      <c r="F45" s="68">
        <v>1</v>
      </c>
      <c r="G45" s="66">
        <v>35.880000000000003</v>
      </c>
      <c r="H45" s="73">
        <f t="shared" si="0"/>
        <v>35.880000000000003</v>
      </c>
    </row>
    <row r="46" spans="1:10" ht="45.75" thickBot="1">
      <c r="A46" s="113">
        <v>8</v>
      </c>
      <c r="B46" s="67">
        <v>86935</v>
      </c>
      <c r="C46" s="65" t="s">
        <v>29</v>
      </c>
      <c r="D46" s="247" t="s">
        <v>318</v>
      </c>
      <c r="E46" s="249" t="s">
        <v>389</v>
      </c>
      <c r="F46" s="68">
        <v>2</v>
      </c>
      <c r="G46" s="66">
        <v>183.37</v>
      </c>
      <c r="H46" s="73">
        <f t="shared" si="0"/>
        <v>366.74</v>
      </c>
    </row>
    <row r="47" spans="1:10" ht="18" thickBot="1">
      <c r="A47" s="400" t="s">
        <v>146</v>
      </c>
      <c r="B47" s="401"/>
      <c r="C47" s="401"/>
      <c r="D47" s="401"/>
      <c r="E47" s="401"/>
      <c r="F47" s="401"/>
      <c r="G47" s="402"/>
      <c r="H47" s="74">
        <f>SUM(H39:H46)</f>
        <v>1217.0472724444444</v>
      </c>
    </row>
    <row r="48" spans="1:10" ht="13.5" thickBot="1"/>
    <row r="49" spans="1:10" ht="15.75" thickBot="1">
      <c r="A49" s="406" t="s">
        <v>790</v>
      </c>
      <c r="B49" s="407"/>
      <c r="C49" s="407"/>
      <c r="D49" s="407"/>
      <c r="E49" s="407"/>
      <c r="F49" s="407"/>
      <c r="G49" s="407"/>
      <c r="H49" s="408"/>
    </row>
    <row r="50" spans="1:10" ht="33.75" customHeight="1">
      <c r="A50" s="403" t="s">
        <v>393</v>
      </c>
      <c r="B50" s="404"/>
      <c r="C50" s="404"/>
      <c r="D50" s="404"/>
      <c r="E50" s="404"/>
      <c r="F50" s="404"/>
      <c r="G50" s="404"/>
      <c r="H50" s="405"/>
    </row>
    <row r="51" spans="1:10">
      <c r="A51" s="69" t="s">
        <v>10</v>
      </c>
      <c r="B51" s="63" t="s">
        <v>24</v>
      </c>
      <c r="C51" s="63" t="s">
        <v>28</v>
      </c>
      <c r="D51" s="63" t="s">
        <v>140</v>
      </c>
      <c r="E51" s="63" t="s">
        <v>141</v>
      </c>
      <c r="F51" s="63" t="s">
        <v>142</v>
      </c>
      <c r="G51" s="63" t="s">
        <v>143</v>
      </c>
      <c r="H51" s="70" t="s">
        <v>144</v>
      </c>
    </row>
    <row r="52" spans="1:10" ht="45">
      <c r="A52" s="113">
        <v>1</v>
      </c>
      <c r="B52" s="67">
        <v>11795</v>
      </c>
      <c r="C52" s="65" t="s">
        <v>29</v>
      </c>
      <c r="D52" s="247" t="s">
        <v>386</v>
      </c>
      <c r="E52" s="249" t="s">
        <v>387</v>
      </c>
      <c r="F52" s="68">
        <f>J52*'Calc Quant reforma'!AC21</f>
        <v>1.2506666666666666</v>
      </c>
      <c r="G52" s="66">
        <v>279.24</v>
      </c>
      <c r="H52" s="73">
        <f>F52*G52</f>
        <v>349.23615999999998</v>
      </c>
      <c r="J52" s="62">
        <f>1.005/0.9</f>
        <v>1.1166666666666665</v>
      </c>
    </row>
    <row r="53" spans="1:10" ht="15.75">
      <c r="A53" s="113">
        <v>2</v>
      </c>
      <c r="B53" s="67">
        <v>4823</v>
      </c>
      <c r="C53" s="65" t="s">
        <v>29</v>
      </c>
      <c r="D53" s="72" t="s">
        <v>384</v>
      </c>
      <c r="E53" s="249" t="s">
        <v>385</v>
      </c>
      <c r="F53" s="68">
        <f>J53*'Calc Quant reforma'!AC21</f>
        <v>0.65059555555555559</v>
      </c>
      <c r="G53" s="66">
        <v>30.29</v>
      </c>
      <c r="H53" s="73">
        <f t="shared" ref="H53:H59" si="1">F53*G53</f>
        <v>19.70653937777778</v>
      </c>
      <c r="J53" s="62">
        <f>0.5228/0.9</f>
        <v>0.5808888888888889</v>
      </c>
    </row>
    <row r="54" spans="1:10" ht="30">
      <c r="A54" s="113">
        <v>3</v>
      </c>
      <c r="B54" s="67">
        <v>7568</v>
      </c>
      <c r="C54" s="65" t="s">
        <v>29</v>
      </c>
      <c r="D54" s="247" t="s">
        <v>388</v>
      </c>
      <c r="E54" s="249" t="s">
        <v>389</v>
      </c>
      <c r="F54" s="68">
        <v>8</v>
      </c>
      <c r="G54" s="66">
        <v>0.61</v>
      </c>
      <c r="H54" s="73">
        <f t="shared" si="1"/>
        <v>4.88</v>
      </c>
      <c r="J54" s="62">
        <f>6/1.5</f>
        <v>4</v>
      </c>
    </row>
    <row r="55" spans="1:10" ht="15.75">
      <c r="A55" s="113">
        <v>4</v>
      </c>
      <c r="B55" s="67">
        <v>37329</v>
      </c>
      <c r="C55" s="65" t="s">
        <v>29</v>
      </c>
      <c r="D55" s="72" t="s">
        <v>390</v>
      </c>
      <c r="E55" s="249" t="s">
        <v>385</v>
      </c>
      <c r="F55" s="68">
        <f>J55*'Calc Quant reforma'!AC21</f>
        <v>4.3680000000000004E-2</v>
      </c>
      <c r="G55" s="66">
        <v>44.3</v>
      </c>
      <c r="H55" s="73">
        <f t="shared" si="1"/>
        <v>1.9350240000000001</v>
      </c>
      <c r="J55" s="62">
        <f>0.0351/0.9</f>
        <v>3.9E-2</v>
      </c>
    </row>
    <row r="56" spans="1:10" ht="15.75">
      <c r="A56" s="113">
        <v>5</v>
      </c>
      <c r="B56" s="67">
        <v>88274</v>
      </c>
      <c r="C56" s="65" t="s">
        <v>29</v>
      </c>
      <c r="D56" s="248" t="s">
        <v>391</v>
      </c>
      <c r="E56" s="249" t="s">
        <v>145</v>
      </c>
      <c r="F56" s="68">
        <f>'Calc Quant reforma'!AC21</f>
        <v>1.1200000000000001</v>
      </c>
      <c r="G56" s="66">
        <v>20.309999999999999</v>
      </c>
      <c r="H56" s="73">
        <f t="shared" si="1"/>
        <v>22.747199999999999</v>
      </c>
      <c r="J56" s="62">
        <f>1.49/0.9</f>
        <v>1.6555555555555554</v>
      </c>
    </row>
    <row r="57" spans="1:10" ht="15.75">
      <c r="A57" s="113">
        <v>6</v>
      </c>
      <c r="B57" s="67">
        <v>88316</v>
      </c>
      <c r="C57" s="65" t="s">
        <v>29</v>
      </c>
      <c r="D57" s="72" t="s">
        <v>148</v>
      </c>
      <c r="E57" s="249" t="s">
        <v>145</v>
      </c>
      <c r="F57" s="68">
        <f>J57*'Calc Quant reforma'!AC21</f>
        <v>1.2195555555555555</v>
      </c>
      <c r="G57" s="66">
        <v>14.03</v>
      </c>
      <c r="H57" s="73">
        <f t="shared" si="1"/>
        <v>17.110364444444443</v>
      </c>
      <c r="J57" s="62">
        <f>0.98/0.9</f>
        <v>1.0888888888888888</v>
      </c>
    </row>
    <row r="58" spans="1:10" ht="30">
      <c r="A58" s="113">
        <v>7</v>
      </c>
      <c r="B58" s="67">
        <v>86911</v>
      </c>
      <c r="C58" s="65" t="s">
        <v>29</v>
      </c>
      <c r="D58" s="247" t="s">
        <v>392</v>
      </c>
      <c r="E58" s="249" t="s">
        <v>389</v>
      </c>
      <c r="F58" s="68">
        <v>1</v>
      </c>
      <c r="G58" s="66">
        <v>35.880000000000003</v>
      </c>
      <c r="H58" s="73">
        <f t="shared" si="1"/>
        <v>35.880000000000003</v>
      </c>
    </row>
    <row r="59" spans="1:10" ht="45.75" thickBot="1">
      <c r="A59" s="113">
        <v>8</v>
      </c>
      <c r="B59" s="67">
        <v>86935</v>
      </c>
      <c r="C59" s="65" t="s">
        <v>29</v>
      </c>
      <c r="D59" s="247" t="s">
        <v>318</v>
      </c>
      <c r="E59" s="249" t="s">
        <v>389</v>
      </c>
      <c r="F59" s="68">
        <v>1</v>
      </c>
      <c r="G59" s="66">
        <v>183.37</v>
      </c>
      <c r="H59" s="73">
        <f t="shared" si="1"/>
        <v>183.37</v>
      </c>
    </row>
    <row r="60" spans="1:10" ht="18" thickBot="1">
      <c r="A60" s="400" t="s">
        <v>146</v>
      </c>
      <c r="B60" s="401"/>
      <c r="C60" s="401"/>
      <c r="D60" s="401"/>
      <c r="E60" s="401"/>
      <c r="F60" s="401"/>
      <c r="G60" s="402"/>
      <c r="H60" s="74">
        <f>SUM(H52:H59)</f>
        <v>634.86528782222217</v>
      </c>
    </row>
    <row r="61" spans="1:10" ht="13.5" thickBot="1"/>
    <row r="62" spans="1:10" ht="15.75" thickBot="1">
      <c r="A62" s="406" t="s">
        <v>791</v>
      </c>
      <c r="B62" s="407"/>
      <c r="C62" s="407"/>
      <c r="D62" s="407"/>
      <c r="E62" s="407"/>
      <c r="F62" s="407"/>
      <c r="G62" s="407"/>
      <c r="H62" s="408"/>
    </row>
    <row r="63" spans="1:10" ht="31.5" customHeight="1">
      <c r="A63" s="403" t="s">
        <v>397</v>
      </c>
      <c r="B63" s="404"/>
      <c r="C63" s="404"/>
      <c r="D63" s="404"/>
      <c r="E63" s="404"/>
      <c r="F63" s="404"/>
      <c r="G63" s="404"/>
      <c r="H63" s="405"/>
    </row>
    <row r="64" spans="1:10">
      <c r="A64" s="69" t="s">
        <v>10</v>
      </c>
      <c r="B64" s="63" t="s">
        <v>24</v>
      </c>
      <c r="C64" s="63" t="s">
        <v>28</v>
      </c>
      <c r="D64" s="63" t="s">
        <v>140</v>
      </c>
      <c r="E64" s="63" t="s">
        <v>141</v>
      </c>
      <c r="F64" s="63" t="s">
        <v>142</v>
      </c>
      <c r="G64" s="63" t="s">
        <v>143</v>
      </c>
      <c r="H64" s="70" t="s">
        <v>144</v>
      </c>
    </row>
    <row r="65" spans="1:10" ht="45">
      <c r="A65" s="113">
        <v>1</v>
      </c>
      <c r="B65" s="67">
        <v>11795</v>
      </c>
      <c r="C65" s="65" t="s">
        <v>29</v>
      </c>
      <c r="D65" s="247" t="s">
        <v>386</v>
      </c>
      <c r="E65" s="249" t="s">
        <v>387</v>
      </c>
      <c r="F65" s="68">
        <f>J65*'Calc Quant reforma'!AC25</f>
        <v>0.7593333333333333</v>
      </c>
      <c r="G65" s="66">
        <v>279.24</v>
      </c>
      <c r="H65" s="73">
        <f>F65*G65</f>
        <v>212.03623999999999</v>
      </c>
      <c r="J65" s="62">
        <f>1.005/0.9</f>
        <v>1.1166666666666665</v>
      </c>
    </row>
    <row r="66" spans="1:10" ht="15.75">
      <c r="A66" s="113">
        <v>2</v>
      </c>
      <c r="B66" s="67">
        <v>4823</v>
      </c>
      <c r="C66" s="65" t="s">
        <v>29</v>
      </c>
      <c r="D66" s="72" t="s">
        <v>384</v>
      </c>
      <c r="E66" s="249" t="s">
        <v>385</v>
      </c>
      <c r="F66" s="68">
        <f>J66*'Calc Quant reforma'!AC25</f>
        <v>0.39500444444444449</v>
      </c>
      <c r="G66" s="66">
        <v>30.29</v>
      </c>
      <c r="H66" s="73">
        <f t="shared" ref="H66:H71" si="2">F66*G66</f>
        <v>11.964684622222224</v>
      </c>
      <c r="J66" s="62">
        <f>0.5228/0.9</f>
        <v>0.5808888888888889</v>
      </c>
    </row>
    <row r="67" spans="1:10" ht="30">
      <c r="A67" s="113">
        <v>3</v>
      </c>
      <c r="B67" s="67">
        <v>7568</v>
      </c>
      <c r="C67" s="65" t="s">
        <v>29</v>
      </c>
      <c r="D67" s="247" t="s">
        <v>388</v>
      </c>
      <c r="E67" s="249" t="s">
        <v>389</v>
      </c>
      <c r="F67" s="68">
        <v>5</v>
      </c>
      <c r="G67" s="66">
        <v>0.61</v>
      </c>
      <c r="H67" s="73">
        <f t="shared" si="2"/>
        <v>3.05</v>
      </c>
      <c r="J67" s="62">
        <f>6/1.5</f>
        <v>4</v>
      </c>
    </row>
    <row r="68" spans="1:10" ht="15.75">
      <c r="A68" s="113">
        <v>4</v>
      </c>
      <c r="B68" s="67">
        <v>37329</v>
      </c>
      <c r="C68" s="65" t="s">
        <v>29</v>
      </c>
      <c r="D68" s="72" t="s">
        <v>390</v>
      </c>
      <c r="E68" s="249" t="s">
        <v>385</v>
      </c>
      <c r="F68" s="68">
        <f>J68*'Calc Quant reforma'!AC25</f>
        <v>2.6520000000000002E-2</v>
      </c>
      <c r="G68" s="66">
        <v>44.3</v>
      </c>
      <c r="H68" s="73">
        <f t="shared" si="2"/>
        <v>1.174836</v>
      </c>
      <c r="J68" s="62">
        <f>0.0351/0.9</f>
        <v>3.9E-2</v>
      </c>
    </row>
    <row r="69" spans="1:10" ht="15.75">
      <c r="A69" s="113">
        <v>5</v>
      </c>
      <c r="B69" s="67">
        <v>88274</v>
      </c>
      <c r="C69" s="65" t="s">
        <v>29</v>
      </c>
      <c r="D69" s="248" t="s">
        <v>391</v>
      </c>
      <c r="E69" s="249" t="s">
        <v>145</v>
      </c>
      <c r="F69" s="68">
        <f>'Calc Quant reforma'!AC25</f>
        <v>0.68</v>
      </c>
      <c r="G69" s="66">
        <v>20.309999999999999</v>
      </c>
      <c r="H69" s="73">
        <f t="shared" si="2"/>
        <v>13.8108</v>
      </c>
      <c r="J69" s="62">
        <f>1.49/0.9</f>
        <v>1.6555555555555554</v>
      </c>
    </row>
    <row r="70" spans="1:10" ht="15.75">
      <c r="A70" s="113">
        <v>6</v>
      </c>
      <c r="B70" s="67">
        <v>88316</v>
      </c>
      <c r="C70" s="65" t="s">
        <v>29</v>
      </c>
      <c r="D70" s="72" t="s">
        <v>148</v>
      </c>
      <c r="E70" s="249" t="s">
        <v>145</v>
      </c>
      <c r="F70" s="68">
        <f>J70*'Calc Quant reforma'!AC25</f>
        <v>0.74044444444444446</v>
      </c>
      <c r="G70" s="66">
        <v>14.03</v>
      </c>
      <c r="H70" s="73">
        <f t="shared" si="2"/>
        <v>10.388435555555555</v>
      </c>
      <c r="J70" s="62">
        <f>0.98/0.9</f>
        <v>1.0888888888888888</v>
      </c>
    </row>
    <row r="71" spans="1:10" ht="30">
      <c r="A71" s="113">
        <v>7</v>
      </c>
      <c r="B71" s="67">
        <v>86906</v>
      </c>
      <c r="C71" s="65" t="s">
        <v>29</v>
      </c>
      <c r="D71" s="247" t="s">
        <v>394</v>
      </c>
      <c r="E71" s="249" t="s">
        <v>389</v>
      </c>
      <c r="F71" s="68">
        <v>1</v>
      </c>
      <c r="G71" s="66">
        <v>42.1</v>
      </c>
      <c r="H71" s="73">
        <f t="shared" si="2"/>
        <v>42.1</v>
      </c>
    </row>
    <row r="72" spans="1:10" ht="45">
      <c r="A72" s="113">
        <v>8</v>
      </c>
      <c r="B72" s="67">
        <v>86937</v>
      </c>
      <c r="C72" s="65" t="s">
        <v>29</v>
      </c>
      <c r="D72" s="247" t="s">
        <v>395</v>
      </c>
      <c r="E72" s="249" t="s">
        <v>389</v>
      </c>
      <c r="F72" s="68">
        <v>1</v>
      </c>
      <c r="G72" s="66">
        <v>137.65</v>
      </c>
      <c r="H72" s="73">
        <f>F72*G72</f>
        <v>137.65</v>
      </c>
    </row>
    <row r="73" spans="1:10" ht="30.75" thickBot="1">
      <c r="A73" s="113">
        <v>8</v>
      </c>
      <c r="B73" s="67">
        <v>86884</v>
      </c>
      <c r="C73" s="65" t="s">
        <v>29</v>
      </c>
      <c r="D73" s="247" t="s">
        <v>396</v>
      </c>
      <c r="E73" s="249" t="s">
        <v>389</v>
      </c>
      <c r="F73" s="68">
        <v>1</v>
      </c>
      <c r="G73" s="66">
        <v>6.84</v>
      </c>
      <c r="H73" s="73">
        <f>F73*G73</f>
        <v>6.84</v>
      </c>
    </row>
    <row r="74" spans="1:10" ht="18" thickBot="1">
      <c r="A74" s="400" t="s">
        <v>146</v>
      </c>
      <c r="B74" s="401"/>
      <c r="C74" s="401"/>
      <c r="D74" s="401"/>
      <c r="E74" s="401"/>
      <c r="F74" s="401"/>
      <c r="G74" s="402"/>
      <c r="H74" s="74">
        <f>SUM(H65:H73)</f>
        <v>439.01499617777773</v>
      </c>
    </row>
    <row r="75" spans="1:10" ht="18" thickBot="1">
      <c r="A75" s="241"/>
      <c r="B75" s="241"/>
      <c r="C75" s="241"/>
      <c r="D75" s="241"/>
      <c r="E75" s="241"/>
      <c r="F75" s="241"/>
      <c r="G75" s="241"/>
      <c r="H75" s="242"/>
    </row>
    <row r="76" spans="1:10" ht="15.75" thickBot="1">
      <c r="A76" s="406" t="s">
        <v>792</v>
      </c>
      <c r="B76" s="407"/>
      <c r="C76" s="407"/>
      <c r="D76" s="407"/>
      <c r="E76" s="407"/>
      <c r="F76" s="407"/>
      <c r="G76" s="407"/>
      <c r="H76" s="408"/>
    </row>
    <row r="77" spans="1:10" ht="15">
      <c r="A77" s="403" t="s">
        <v>447</v>
      </c>
      <c r="B77" s="404"/>
      <c r="C77" s="404"/>
      <c r="D77" s="404"/>
      <c r="E77" s="404"/>
      <c r="F77" s="404"/>
      <c r="G77" s="404"/>
      <c r="H77" s="405"/>
    </row>
    <row r="78" spans="1:10">
      <c r="A78" s="69" t="s">
        <v>10</v>
      </c>
      <c r="B78" s="63" t="s">
        <v>24</v>
      </c>
      <c r="C78" s="63" t="s">
        <v>28</v>
      </c>
      <c r="D78" s="63" t="s">
        <v>140</v>
      </c>
      <c r="E78" s="63" t="s">
        <v>141</v>
      </c>
      <c r="F78" s="63" t="s">
        <v>142</v>
      </c>
      <c r="G78" s="63" t="s">
        <v>143</v>
      </c>
      <c r="H78" s="70" t="s">
        <v>144</v>
      </c>
    </row>
    <row r="79" spans="1:10" ht="30">
      <c r="A79" s="113">
        <v>1</v>
      </c>
      <c r="B79" s="67">
        <v>95676</v>
      </c>
      <c r="C79" s="65" t="s">
        <v>29</v>
      </c>
      <c r="D79" s="309" t="s">
        <v>449</v>
      </c>
      <c r="E79" s="249" t="s">
        <v>389</v>
      </c>
      <c r="F79" s="68">
        <v>1</v>
      </c>
      <c r="G79" s="66">
        <v>72.98</v>
      </c>
      <c r="H79" s="73">
        <f>F79*G79</f>
        <v>72.98</v>
      </c>
    </row>
    <row r="80" spans="1:10" ht="30">
      <c r="A80" s="113">
        <v>2</v>
      </c>
      <c r="B80" s="67">
        <v>97741</v>
      </c>
      <c r="C80" s="65" t="s">
        <v>29</v>
      </c>
      <c r="D80" s="309" t="s">
        <v>448</v>
      </c>
      <c r="E80" s="249" t="s">
        <v>389</v>
      </c>
      <c r="F80" s="68">
        <v>1</v>
      </c>
      <c r="G80" s="66">
        <v>118.03</v>
      </c>
      <c r="H80" s="73">
        <f>F80*G80</f>
        <v>118.03</v>
      </c>
    </row>
    <row r="81" spans="1:8" ht="16.5" thickBot="1">
      <c r="A81" s="113">
        <v>3</v>
      </c>
      <c r="B81" s="67">
        <v>95675</v>
      </c>
      <c r="C81" s="65" t="s">
        <v>29</v>
      </c>
      <c r="D81" s="309" t="s">
        <v>450</v>
      </c>
      <c r="E81" s="249" t="s">
        <v>389</v>
      </c>
      <c r="F81" s="68">
        <v>1</v>
      </c>
      <c r="G81" s="66">
        <v>133.69999999999999</v>
      </c>
      <c r="H81" s="73">
        <f>F81*G81</f>
        <v>133.69999999999999</v>
      </c>
    </row>
    <row r="82" spans="1:8" ht="18" thickBot="1">
      <c r="A82" s="400" t="s">
        <v>146</v>
      </c>
      <c r="B82" s="401"/>
      <c r="C82" s="401"/>
      <c r="D82" s="401"/>
      <c r="E82" s="401"/>
      <c r="F82" s="401"/>
      <c r="G82" s="402"/>
      <c r="H82" s="74">
        <f>SUM(H79:H81)</f>
        <v>324.70999999999998</v>
      </c>
    </row>
    <row r="83" spans="1:8" ht="18" thickBot="1">
      <c r="A83" s="241"/>
      <c r="B83" s="241"/>
      <c r="C83" s="241"/>
      <c r="D83" s="241"/>
      <c r="E83" s="241"/>
      <c r="F83" s="241"/>
      <c r="G83" s="241"/>
      <c r="H83" s="242"/>
    </row>
    <row r="84" spans="1:8" ht="15.75" thickBot="1">
      <c r="A84" s="406" t="s">
        <v>793</v>
      </c>
      <c r="B84" s="407"/>
      <c r="C84" s="407"/>
      <c r="D84" s="407"/>
      <c r="E84" s="407"/>
      <c r="F84" s="407"/>
      <c r="G84" s="407"/>
      <c r="H84" s="408"/>
    </row>
    <row r="85" spans="1:8" ht="15">
      <c r="A85" s="403" t="s">
        <v>461</v>
      </c>
      <c r="B85" s="404"/>
      <c r="C85" s="404"/>
      <c r="D85" s="404"/>
      <c r="E85" s="404"/>
      <c r="F85" s="404"/>
      <c r="G85" s="404"/>
      <c r="H85" s="405"/>
    </row>
    <row r="86" spans="1:8">
      <c r="A86" s="69" t="s">
        <v>10</v>
      </c>
      <c r="B86" s="63" t="s">
        <v>24</v>
      </c>
      <c r="C86" s="63" t="s">
        <v>28</v>
      </c>
      <c r="D86" s="63" t="s">
        <v>140</v>
      </c>
      <c r="E86" s="63" t="s">
        <v>141</v>
      </c>
      <c r="F86" s="63" t="s">
        <v>142</v>
      </c>
      <c r="G86" s="63" t="s">
        <v>143</v>
      </c>
      <c r="H86" s="70" t="s">
        <v>144</v>
      </c>
    </row>
    <row r="87" spans="1:8" ht="15.75">
      <c r="A87" s="113">
        <v>1</v>
      </c>
      <c r="B87" s="67">
        <v>34640</v>
      </c>
      <c r="C87" s="65" t="s">
        <v>29</v>
      </c>
      <c r="D87" s="309" t="s">
        <v>461</v>
      </c>
      <c r="E87" s="249" t="s">
        <v>389</v>
      </c>
      <c r="F87" s="68">
        <v>2</v>
      </c>
      <c r="G87" s="66">
        <v>695.8</v>
      </c>
      <c r="H87" s="73">
        <f>F87*G87</f>
        <v>1391.6</v>
      </c>
    </row>
    <row r="88" spans="1:8" ht="30">
      <c r="A88" s="113">
        <v>2</v>
      </c>
      <c r="B88" s="67">
        <v>94490</v>
      </c>
      <c r="C88" s="65" t="s">
        <v>29</v>
      </c>
      <c r="D88" s="309" t="s">
        <v>462</v>
      </c>
      <c r="E88" s="249" t="s">
        <v>389</v>
      </c>
      <c r="F88" s="68">
        <v>1</v>
      </c>
      <c r="G88" s="66">
        <v>21.21</v>
      </c>
      <c r="H88" s="73">
        <f t="shared" ref="H88:H101" si="3">F88*G88</f>
        <v>21.21</v>
      </c>
    </row>
    <row r="89" spans="1:8" ht="30">
      <c r="A89" s="113">
        <v>3</v>
      </c>
      <c r="B89" s="67">
        <v>94491</v>
      </c>
      <c r="C89" s="65" t="s">
        <v>29</v>
      </c>
      <c r="D89" s="250" t="s">
        <v>463</v>
      </c>
      <c r="E89" s="249" t="s">
        <v>389</v>
      </c>
      <c r="F89" s="68">
        <v>2</v>
      </c>
      <c r="G89" s="66">
        <v>29.49</v>
      </c>
      <c r="H89" s="73">
        <f t="shared" si="3"/>
        <v>58.98</v>
      </c>
    </row>
    <row r="90" spans="1:8" ht="30">
      <c r="A90" s="113">
        <v>4</v>
      </c>
      <c r="B90" s="67">
        <v>94492</v>
      </c>
      <c r="C90" s="65" t="s">
        <v>29</v>
      </c>
      <c r="D90" s="250" t="s">
        <v>464</v>
      </c>
      <c r="E90" s="249" t="s">
        <v>389</v>
      </c>
      <c r="F90" s="68">
        <v>2</v>
      </c>
      <c r="G90" s="66">
        <v>30.11</v>
      </c>
      <c r="H90" s="73">
        <f t="shared" si="3"/>
        <v>60.22</v>
      </c>
    </row>
    <row r="91" spans="1:8" ht="30">
      <c r="A91" s="113">
        <v>5</v>
      </c>
      <c r="B91" s="67">
        <v>94493</v>
      </c>
      <c r="C91" s="65" t="s">
        <v>29</v>
      </c>
      <c r="D91" s="250" t="s">
        <v>465</v>
      </c>
      <c r="E91" s="249" t="s">
        <v>389</v>
      </c>
      <c r="F91" s="68">
        <v>2</v>
      </c>
      <c r="G91" s="66">
        <v>54.17</v>
      </c>
      <c r="H91" s="73">
        <f t="shared" si="3"/>
        <v>108.34</v>
      </c>
    </row>
    <row r="92" spans="1:8" ht="30">
      <c r="A92" s="113">
        <v>6</v>
      </c>
      <c r="B92" s="67">
        <v>94704</v>
      </c>
      <c r="C92" s="65" t="s">
        <v>29</v>
      </c>
      <c r="D92" s="250" t="s">
        <v>466</v>
      </c>
      <c r="E92" s="249" t="s">
        <v>389</v>
      </c>
      <c r="F92" s="68">
        <v>1</v>
      </c>
      <c r="G92" s="66">
        <v>15.6</v>
      </c>
      <c r="H92" s="73">
        <f t="shared" si="3"/>
        <v>15.6</v>
      </c>
    </row>
    <row r="93" spans="1:8" ht="30">
      <c r="A93" s="113">
        <v>7</v>
      </c>
      <c r="B93" s="67">
        <v>94705</v>
      </c>
      <c r="C93" s="65" t="s">
        <v>29</v>
      </c>
      <c r="D93" s="250" t="s">
        <v>467</v>
      </c>
      <c r="E93" s="249" t="s">
        <v>389</v>
      </c>
      <c r="F93" s="68">
        <v>3</v>
      </c>
      <c r="G93" s="66">
        <v>18.940000000000001</v>
      </c>
      <c r="H93" s="73">
        <f t="shared" si="3"/>
        <v>56.820000000000007</v>
      </c>
    </row>
    <row r="94" spans="1:8" ht="30">
      <c r="A94" s="113">
        <v>8</v>
      </c>
      <c r="B94" s="67">
        <v>94706</v>
      </c>
      <c r="C94" s="65" t="s">
        <v>29</v>
      </c>
      <c r="D94" s="250" t="s">
        <v>468</v>
      </c>
      <c r="E94" s="249" t="s">
        <v>389</v>
      </c>
      <c r="F94" s="68">
        <v>3</v>
      </c>
      <c r="G94" s="66">
        <v>26.39</v>
      </c>
      <c r="H94" s="73">
        <f t="shared" si="3"/>
        <v>79.17</v>
      </c>
    </row>
    <row r="95" spans="1:8" ht="30">
      <c r="A95" s="113">
        <v>9</v>
      </c>
      <c r="B95" s="67">
        <v>94707</v>
      </c>
      <c r="C95" s="65" t="s">
        <v>29</v>
      </c>
      <c r="D95" s="250" t="s">
        <v>469</v>
      </c>
      <c r="E95" s="249" t="s">
        <v>389</v>
      </c>
      <c r="F95" s="68">
        <v>2</v>
      </c>
      <c r="G95" s="66">
        <v>32.6</v>
      </c>
      <c r="H95" s="73">
        <f t="shared" si="3"/>
        <v>65.2</v>
      </c>
    </row>
    <row r="96" spans="1:8" ht="30">
      <c r="A96" s="113">
        <v>10</v>
      </c>
      <c r="B96" s="67">
        <v>89413</v>
      </c>
      <c r="C96" s="65" t="s">
        <v>29</v>
      </c>
      <c r="D96" s="250" t="s">
        <v>470</v>
      </c>
      <c r="E96" s="249" t="s">
        <v>389</v>
      </c>
      <c r="F96" s="68">
        <v>1</v>
      </c>
      <c r="G96" s="66">
        <v>6.15</v>
      </c>
      <c r="H96" s="73">
        <f t="shared" si="3"/>
        <v>6.15</v>
      </c>
    </row>
    <row r="97" spans="1:8" ht="30">
      <c r="A97" s="113">
        <v>11</v>
      </c>
      <c r="B97" s="67">
        <v>89497</v>
      </c>
      <c r="C97" s="65" t="s">
        <v>29</v>
      </c>
      <c r="D97" s="250" t="s">
        <v>471</v>
      </c>
      <c r="E97" s="249" t="s">
        <v>389</v>
      </c>
      <c r="F97" s="68">
        <v>4</v>
      </c>
      <c r="G97" s="66">
        <v>7.66</v>
      </c>
      <c r="H97" s="73">
        <f t="shared" si="3"/>
        <v>30.64</v>
      </c>
    </row>
    <row r="98" spans="1:8" ht="30">
      <c r="A98" s="113">
        <v>12</v>
      </c>
      <c r="B98" s="67">
        <v>89501</v>
      </c>
      <c r="C98" s="65" t="s">
        <v>29</v>
      </c>
      <c r="D98" s="250" t="s">
        <v>472</v>
      </c>
      <c r="E98" s="249" t="s">
        <v>389</v>
      </c>
      <c r="F98" s="68">
        <v>3</v>
      </c>
      <c r="G98" s="66">
        <v>9.14</v>
      </c>
      <c r="H98" s="73">
        <f t="shared" si="3"/>
        <v>27.42</v>
      </c>
    </row>
    <row r="99" spans="1:8" ht="30">
      <c r="A99" s="113">
        <v>13</v>
      </c>
      <c r="B99" s="67">
        <v>89505</v>
      </c>
      <c r="C99" s="65" t="s">
        <v>29</v>
      </c>
      <c r="D99" s="250" t="s">
        <v>473</v>
      </c>
      <c r="E99" s="249" t="s">
        <v>389</v>
      </c>
      <c r="F99" s="68">
        <v>2</v>
      </c>
      <c r="G99" s="66">
        <v>22.83</v>
      </c>
      <c r="H99" s="73">
        <f t="shared" si="3"/>
        <v>45.66</v>
      </c>
    </row>
    <row r="100" spans="1:8" ht="30">
      <c r="A100" s="113">
        <v>14</v>
      </c>
      <c r="B100" s="67">
        <v>89623</v>
      </c>
      <c r="C100" s="65" t="s">
        <v>29</v>
      </c>
      <c r="D100" s="250" t="s">
        <v>474</v>
      </c>
      <c r="E100" s="249" t="s">
        <v>389</v>
      </c>
      <c r="F100" s="68">
        <v>2</v>
      </c>
      <c r="G100" s="66">
        <v>11.8</v>
      </c>
      <c r="H100" s="73">
        <f t="shared" si="3"/>
        <v>23.6</v>
      </c>
    </row>
    <row r="101" spans="1:8" ht="30.75" thickBot="1">
      <c r="A101" s="113">
        <v>15</v>
      </c>
      <c r="B101" s="67">
        <v>94797</v>
      </c>
      <c r="C101" s="65" t="s">
        <v>29</v>
      </c>
      <c r="D101" s="250" t="s">
        <v>475</v>
      </c>
      <c r="E101" s="249" t="s">
        <v>389</v>
      </c>
      <c r="F101" s="68">
        <v>1</v>
      </c>
      <c r="G101" s="66">
        <v>26.51</v>
      </c>
      <c r="H101" s="73">
        <f t="shared" si="3"/>
        <v>26.51</v>
      </c>
    </row>
    <row r="102" spans="1:8" ht="18" thickBot="1">
      <c r="A102" s="400" t="s">
        <v>146</v>
      </c>
      <c r="B102" s="401"/>
      <c r="C102" s="401"/>
      <c r="D102" s="401"/>
      <c r="E102" s="401"/>
      <c r="F102" s="401"/>
      <c r="G102" s="402"/>
      <c r="H102" s="74">
        <f>SUM(H87:H101)</f>
        <v>2017.1200000000001</v>
      </c>
    </row>
    <row r="103" spans="1:8" ht="18" thickBot="1">
      <c r="A103" s="241"/>
      <c r="B103" s="241"/>
      <c r="C103" s="241"/>
      <c r="D103" s="241"/>
      <c r="E103" s="241"/>
      <c r="F103" s="241"/>
      <c r="G103" s="241"/>
      <c r="H103" s="242"/>
    </row>
    <row r="104" spans="1:8" ht="15.75" thickBot="1">
      <c r="A104" s="406" t="s">
        <v>454</v>
      </c>
      <c r="B104" s="407"/>
      <c r="C104" s="407"/>
      <c r="D104" s="407"/>
      <c r="E104" s="407"/>
      <c r="F104" s="407"/>
      <c r="G104" s="407"/>
      <c r="H104" s="408"/>
    </row>
    <row r="105" spans="1:8" ht="15">
      <c r="A105" s="403" t="s">
        <v>477</v>
      </c>
      <c r="B105" s="404"/>
      <c r="C105" s="404"/>
      <c r="D105" s="404"/>
      <c r="E105" s="404"/>
      <c r="F105" s="404"/>
      <c r="G105" s="404"/>
      <c r="H105" s="405"/>
    </row>
    <row r="106" spans="1:8">
      <c r="A106" s="69" t="s">
        <v>10</v>
      </c>
      <c r="B106" s="63" t="s">
        <v>24</v>
      </c>
      <c r="C106" s="63" t="s">
        <v>28</v>
      </c>
      <c r="D106" s="63" t="s">
        <v>140</v>
      </c>
      <c r="E106" s="63" t="s">
        <v>141</v>
      </c>
      <c r="F106" s="63" t="s">
        <v>142</v>
      </c>
      <c r="G106" s="63" t="s">
        <v>143</v>
      </c>
      <c r="H106" s="70" t="s">
        <v>144</v>
      </c>
    </row>
    <row r="107" spans="1:8" ht="30">
      <c r="A107" s="113">
        <v>1</v>
      </c>
      <c r="B107" s="67">
        <v>83338</v>
      </c>
      <c r="C107" s="65" t="s">
        <v>29</v>
      </c>
      <c r="D107" s="250" t="s">
        <v>481</v>
      </c>
      <c r="E107" s="249" t="s">
        <v>478</v>
      </c>
      <c r="F107" s="68">
        <f>2.5*3.5*1.3</f>
        <v>11.375</v>
      </c>
      <c r="G107" s="66">
        <v>2.21</v>
      </c>
      <c r="H107" s="73">
        <f t="shared" ref="H107:H116" si="4">F107*G107</f>
        <v>25.138749999999998</v>
      </c>
    </row>
    <row r="108" spans="1:8" ht="30">
      <c r="A108" s="113">
        <v>2</v>
      </c>
      <c r="B108" s="67">
        <v>92785</v>
      </c>
      <c r="C108" s="65" t="s">
        <v>29</v>
      </c>
      <c r="D108" s="250" t="s">
        <v>480</v>
      </c>
      <c r="E108" s="249" t="s">
        <v>385</v>
      </c>
      <c r="F108" s="68">
        <f>((9*3.4)+(14*2.4))*0.245</f>
        <v>15.729000000000001</v>
      </c>
      <c r="G108" s="66">
        <v>9.01</v>
      </c>
      <c r="H108" s="73">
        <f t="shared" si="4"/>
        <v>141.71829</v>
      </c>
    </row>
    <row r="109" spans="1:8" ht="30">
      <c r="A109" s="113">
        <v>3</v>
      </c>
      <c r="B109" s="67">
        <v>83534</v>
      </c>
      <c r="C109" s="65" t="s">
        <v>29</v>
      </c>
      <c r="D109" s="248" t="s">
        <v>159</v>
      </c>
      <c r="E109" s="249" t="s">
        <v>478</v>
      </c>
      <c r="F109" s="68">
        <f>3.4*2.4*0.1</f>
        <v>0.81600000000000006</v>
      </c>
      <c r="G109" s="66">
        <v>484.66</v>
      </c>
      <c r="H109" s="73">
        <f>F109*G109</f>
        <v>395.48256000000003</v>
      </c>
    </row>
    <row r="110" spans="1:8" ht="60" customHeight="1">
      <c r="A110" s="113">
        <v>4</v>
      </c>
      <c r="B110" s="67">
        <v>92760</v>
      </c>
      <c r="C110" s="65" t="s">
        <v>29</v>
      </c>
      <c r="D110" s="250" t="s">
        <v>479</v>
      </c>
      <c r="E110" s="249" t="s">
        <v>385</v>
      </c>
      <c r="F110" s="68">
        <f>((1.3*4*6)+(10*4))*0.245</f>
        <v>17.443999999999999</v>
      </c>
      <c r="G110" s="66">
        <v>8.74</v>
      </c>
      <c r="H110" s="73">
        <f t="shared" si="4"/>
        <v>152.46055999999999</v>
      </c>
    </row>
    <row r="111" spans="1:8" ht="30">
      <c r="A111" s="113">
        <v>5</v>
      </c>
      <c r="B111" s="67">
        <v>94965</v>
      </c>
      <c r="C111" s="65" t="s">
        <v>29</v>
      </c>
      <c r="D111" s="250" t="s">
        <v>482</v>
      </c>
      <c r="E111" s="249" t="s">
        <v>478</v>
      </c>
      <c r="F111" s="68">
        <f>(1.1*0.2*0.2)+(10*0.1*0.2)</f>
        <v>0.24400000000000002</v>
      </c>
      <c r="G111" s="66">
        <v>325.97000000000003</v>
      </c>
      <c r="H111" s="73">
        <f t="shared" si="4"/>
        <v>79.536680000000018</v>
      </c>
    </row>
    <row r="112" spans="1:8" ht="30">
      <c r="A112" s="113">
        <v>6</v>
      </c>
      <c r="B112" s="67">
        <v>87493</v>
      </c>
      <c r="C112" s="65" t="s">
        <v>29</v>
      </c>
      <c r="D112" s="250" t="s">
        <v>483</v>
      </c>
      <c r="E112" s="249" t="s">
        <v>387</v>
      </c>
      <c r="F112" s="68">
        <f>10*1</f>
        <v>10</v>
      </c>
      <c r="G112" s="66">
        <v>55.59</v>
      </c>
      <c r="H112" s="73">
        <f t="shared" si="4"/>
        <v>555.90000000000009</v>
      </c>
    </row>
    <row r="113" spans="1:12" ht="15.75">
      <c r="A113" s="113">
        <v>7</v>
      </c>
      <c r="B113" s="67">
        <v>87879</v>
      </c>
      <c r="C113" s="65" t="s">
        <v>29</v>
      </c>
      <c r="D113" s="250" t="s">
        <v>20</v>
      </c>
      <c r="E113" s="249" t="s">
        <v>19</v>
      </c>
      <c r="F113" s="68">
        <f>10*1.1</f>
        <v>11</v>
      </c>
      <c r="G113" s="66">
        <v>2.69</v>
      </c>
      <c r="H113" s="73">
        <f t="shared" si="4"/>
        <v>29.59</v>
      </c>
    </row>
    <row r="114" spans="1:12" ht="45">
      <c r="A114" s="113">
        <v>8</v>
      </c>
      <c r="B114" s="67">
        <v>87777</v>
      </c>
      <c r="C114" s="65" t="s">
        <v>29</v>
      </c>
      <c r="D114" s="250" t="s">
        <v>158</v>
      </c>
      <c r="E114" s="249" t="s">
        <v>19</v>
      </c>
      <c r="F114" s="68">
        <f>10*1.1</f>
        <v>11</v>
      </c>
      <c r="G114" s="66">
        <v>42.9</v>
      </c>
      <c r="H114" s="73">
        <f t="shared" si="4"/>
        <v>471.9</v>
      </c>
      <c r="L114" s="251" t="s">
        <v>485</v>
      </c>
    </row>
    <row r="115" spans="1:12" ht="30">
      <c r="A115" s="113">
        <v>9</v>
      </c>
      <c r="B115" s="67">
        <v>98546</v>
      </c>
      <c r="C115" s="65" t="s">
        <v>29</v>
      </c>
      <c r="D115" s="250" t="s">
        <v>486</v>
      </c>
      <c r="E115" s="249" t="s">
        <v>16</v>
      </c>
      <c r="F115" s="68">
        <f>10*1.1</f>
        <v>11</v>
      </c>
      <c r="G115" s="66">
        <v>68.33</v>
      </c>
      <c r="H115" s="73">
        <f t="shared" si="4"/>
        <v>751.63</v>
      </c>
    </row>
    <row r="116" spans="1:12" ht="45.75" thickBot="1">
      <c r="A116" s="113">
        <v>10</v>
      </c>
      <c r="B116" s="304" t="s">
        <v>488</v>
      </c>
      <c r="C116" s="65" t="s">
        <v>29</v>
      </c>
      <c r="D116" s="250" t="s">
        <v>487</v>
      </c>
      <c r="E116" s="249" t="s">
        <v>19</v>
      </c>
      <c r="F116" s="68">
        <f>3.4*2.4</f>
        <v>8.16</v>
      </c>
      <c r="G116" s="66">
        <v>77.209999999999994</v>
      </c>
      <c r="H116" s="73">
        <f t="shared" si="4"/>
        <v>630.03359999999998</v>
      </c>
      <c r="K116" s="251" t="s">
        <v>484</v>
      </c>
    </row>
    <row r="117" spans="1:12" ht="18" thickBot="1">
      <c r="A117" s="400" t="s">
        <v>146</v>
      </c>
      <c r="B117" s="401"/>
      <c r="C117" s="401"/>
      <c r="D117" s="401"/>
      <c r="E117" s="401"/>
      <c r="F117" s="401"/>
      <c r="G117" s="402"/>
      <c r="H117" s="74">
        <f>SUM(H107:H116)</f>
        <v>3233.3904400000001</v>
      </c>
    </row>
    <row r="118" spans="1:12" ht="18" thickBot="1">
      <c r="A118" s="241"/>
      <c r="B118" s="241"/>
      <c r="C118" s="241"/>
      <c r="D118" s="241"/>
      <c r="E118" s="241"/>
      <c r="F118" s="241"/>
      <c r="G118" s="241"/>
      <c r="H118" s="242"/>
    </row>
    <row r="119" spans="1:12" ht="15.75" thickBot="1">
      <c r="A119" s="406" t="s">
        <v>456</v>
      </c>
      <c r="B119" s="407"/>
      <c r="C119" s="407"/>
      <c r="D119" s="407"/>
      <c r="E119" s="407"/>
      <c r="F119" s="407"/>
      <c r="G119" s="407"/>
      <c r="H119" s="408"/>
    </row>
    <row r="120" spans="1:12" ht="15">
      <c r="A120" s="403" t="s">
        <v>431</v>
      </c>
      <c r="B120" s="404"/>
      <c r="C120" s="404"/>
      <c r="D120" s="404"/>
      <c r="E120" s="404"/>
      <c r="F120" s="404"/>
      <c r="G120" s="404"/>
      <c r="H120" s="405"/>
    </row>
    <row r="121" spans="1:12">
      <c r="A121" s="69" t="s">
        <v>10</v>
      </c>
      <c r="B121" s="63" t="s">
        <v>24</v>
      </c>
      <c r="C121" s="63" t="s">
        <v>28</v>
      </c>
      <c r="D121" s="63" t="s">
        <v>140</v>
      </c>
      <c r="E121" s="63" t="s">
        <v>141</v>
      </c>
      <c r="F121" s="63" t="s">
        <v>142</v>
      </c>
      <c r="G121" s="63" t="s">
        <v>143</v>
      </c>
      <c r="H121" s="70" t="s">
        <v>144</v>
      </c>
    </row>
    <row r="122" spans="1:12" ht="30">
      <c r="A122" s="113">
        <v>1</v>
      </c>
      <c r="B122" s="67">
        <v>20078</v>
      </c>
      <c r="C122" s="65" t="s">
        <v>29</v>
      </c>
      <c r="D122" s="271" t="s">
        <v>435</v>
      </c>
      <c r="E122" s="249" t="s">
        <v>389</v>
      </c>
      <c r="F122" s="68">
        <f>0.09*2.5</f>
        <v>0.22499999999999998</v>
      </c>
      <c r="G122" s="66">
        <v>13.23</v>
      </c>
      <c r="H122" s="73">
        <f>F122*G122</f>
        <v>2.97675</v>
      </c>
    </row>
    <row r="123" spans="1:12" ht="30">
      <c r="A123" s="113">
        <v>2</v>
      </c>
      <c r="B123" s="67">
        <v>3516</v>
      </c>
      <c r="C123" s="65" t="s">
        <v>29</v>
      </c>
      <c r="D123" s="248" t="s">
        <v>436</v>
      </c>
      <c r="E123" s="249" t="s">
        <v>389</v>
      </c>
      <c r="F123" s="68">
        <f>3</f>
        <v>3</v>
      </c>
      <c r="G123" s="66">
        <v>0.6</v>
      </c>
      <c r="H123" s="73">
        <f t="shared" ref="H123:H128" si="5">F123*G123</f>
        <v>1.7999999999999998</v>
      </c>
    </row>
    <row r="124" spans="1:12" ht="30">
      <c r="A124" s="113">
        <v>3</v>
      </c>
      <c r="B124" s="67">
        <v>3517</v>
      </c>
      <c r="C124" s="65" t="s">
        <v>29</v>
      </c>
      <c r="D124" s="247" t="s">
        <v>437</v>
      </c>
      <c r="E124" s="249" t="s">
        <v>389</v>
      </c>
      <c r="F124" s="68">
        <v>3</v>
      </c>
      <c r="G124" s="66">
        <v>2.12</v>
      </c>
      <c r="H124" s="73">
        <f t="shared" si="5"/>
        <v>6.36</v>
      </c>
    </row>
    <row r="125" spans="1:12" ht="30">
      <c r="A125" s="113">
        <v>4</v>
      </c>
      <c r="B125" s="67">
        <v>3767</v>
      </c>
      <c r="C125" s="65" t="s">
        <v>29</v>
      </c>
      <c r="D125" s="248" t="s">
        <v>438</v>
      </c>
      <c r="E125" s="249" t="s">
        <v>389</v>
      </c>
      <c r="F125" s="68">
        <v>0.2</v>
      </c>
      <c r="G125" s="66">
        <v>0.39</v>
      </c>
      <c r="H125" s="73">
        <f t="shared" si="5"/>
        <v>7.8000000000000014E-2</v>
      </c>
    </row>
    <row r="126" spans="1:12" ht="15.75">
      <c r="A126" s="113">
        <v>5</v>
      </c>
      <c r="B126" s="67">
        <v>9835</v>
      </c>
      <c r="C126" s="65" t="s">
        <v>29</v>
      </c>
      <c r="D126" s="248" t="s">
        <v>439</v>
      </c>
      <c r="E126" s="249" t="s">
        <v>16</v>
      </c>
      <c r="F126" s="68">
        <v>4</v>
      </c>
      <c r="G126" s="66">
        <v>3.05</v>
      </c>
      <c r="H126" s="73">
        <f t="shared" si="5"/>
        <v>12.2</v>
      </c>
    </row>
    <row r="127" spans="1:12" ht="30">
      <c r="A127" s="113"/>
      <c r="B127" s="67">
        <v>88267</v>
      </c>
      <c r="C127" s="65" t="s">
        <v>29</v>
      </c>
      <c r="D127" s="248" t="s">
        <v>440</v>
      </c>
      <c r="E127" s="249" t="s">
        <v>145</v>
      </c>
      <c r="F127" s="68">
        <v>0.65</v>
      </c>
      <c r="G127" s="66">
        <v>21.25</v>
      </c>
      <c r="H127" s="73">
        <f t="shared" si="5"/>
        <v>13.8125</v>
      </c>
    </row>
    <row r="128" spans="1:12" ht="16.5" thickBot="1">
      <c r="A128" s="113"/>
      <c r="B128" s="67">
        <v>88316</v>
      </c>
      <c r="C128" s="65" t="s">
        <v>29</v>
      </c>
      <c r="D128" s="72" t="s">
        <v>148</v>
      </c>
      <c r="E128" s="249" t="s">
        <v>145</v>
      </c>
      <c r="F128" s="68">
        <v>0.65</v>
      </c>
      <c r="G128" s="66">
        <v>14.03</v>
      </c>
      <c r="H128" s="73">
        <f t="shared" si="5"/>
        <v>9.1195000000000004</v>
      </c>
    </row>
    <row r="129" spans="1:8" ht="18" thickBot="1">
      <c r="A129" s="400" t="s">
        <v>146</v>
      </c>
      <c r="B129" s="401"/>
      <c r="C129" s="401"/>
      <c r="D129" s="401"/>
      <c r="E129" s="401"/>
      <c r="F129" s="401"/>
      <c r="G129" s="402"/>
      <c r="H129" s="74">
        <f>SUM(H122:H128)</f>
        <v>46.34675</v>
      </c>
    </row>
    <row r="130" spans="1:8" ht="18" thickBot="1">
      <c r="A130" s="241"/>
      <c r="B130" s="241"/>
      <c r="C130" s="241"/>
      <c r="D130" s="241"/>
      <c r="E130" s="241"/>
      <c r="F130" s="241"/>
      <c r="G130" s="241"/>
      <c r="H130" s="242"/>
    </row>
    <row r="131" spans="1:8" ht="15.75" thickBot="1">
      <c r="A131" s="406" t="s">
        <v>510</v>
      </c>
      <c r="B131" s="407"/>
      <c r="C131" s="407"/>
      <c r="D131" s="407"/>
      <c r="E131" s="407"/>
      <c r="F131" s="407"/>
      <c r="G131" s="407"/>
      <c r="H131" s="408"/>
    </row>
    <row r="132" spans="1:8" ht="15">
      <c r="A132" s="403" t="s">
        <v>432</v>
      </c>
      <c r="B132" s="404"/>
      <c r="C132" s="404"/>
      <c r="D132" s="404"/>
      <c r="E132" s="404"/>
      <c r="F132" s="404"/>
      <c r="G132" s="404"/>
      <c r="H132" s="405"/>
    </row>
    <row r="133" spans="1:8">
      <c r="A133" s="69" t="s">
        <v>10</v>
      </c>
      <c r="B133" s="63" t="s">
        <v>24</v>
      </c>
      <c r="C133" s="63" t="s">
        <v>28</v>
      </c>
      <c r="D133" s="63" t="s">
        <v>140</v>
      </c>
      <c r="E133" s="63" t="s">
        <v>141</v>
      </c>
      <c r="F133" s="63" t="s">
        <v>142</v>
      </c>
      <c r="G133" s="63" t="s">
        <v>143</v>
      </c>
      <c r="H133" s="70" t="s">
        <v>144</v>
      </c>
    </row>
    <row r="134" spans="1:8" ht="30">
      <c r="A134" s="113">
        <v>1</v>
      </c>
      <c r="B134" s="67">
        <v>20078</v>
      </c>
      <c r="C134" s="65" t="s">
        <v>29</v>
      </c>
      <c r="D134" s="271" t="s">
        <v>435</v>
      </c>
      <c r="E134" s="249" t="s">
        <v>389</v>
      </c>
      <c r="F134" s="68">
        <f>0.06*2.5</f>
        <v>0.15</v>
      </c>
      <c r="G134" s="66">
        <v>13.23</v>
      </c>
      <c r="H134" s="73">
        <f>F134*G134</f>
        <v>1.9844999999999999</v>
      </c>
    </row>
    <row r="135" spans="1:8" ht="30">
      <c r="A135" s="113">
        <v>2</v>
      </c>
      <c r="B135" s="67">
        <v>3518</v>
      </c>
      <c r="C135" s="65" t="s">
        <v>29</v>
      </c>
      <c r="D135" s="248" t="s">
        <v>441</v>
      </c>
      <c r="E135" s="249" t="s">
        <v>389</v>
      </c>
      <c r="F135" s="68">
        <f>3</f>
        <v>3</v>
      </c>
      <c r="G135" s="66">
        <v>1.81</v>
      </c>
      <c r="H135" s="73">
        <f t="shared" ref="H135:H140" si="6">F135*G135</f>
        <v>5.43</v>
      </c>
    </row>
    <row r="136" spans="1:8" ht="30">
      <c r="A136" s="113">
        <v>3</v>
      </c>
      <c r="B136" s="67">
        <v>7097</v>
      </c>
      <c r="C136" s="65" t="s">
        <v>29</v>
      </c>
      <c r="D136" s="247" t="s">
        <v>442</v>
      </c>
      <c r="E136" s="249" t="s">
        <v>389</v>
      </c>
      <c r="F136" s="68">
        <v>3</v>
      </c>
      <c r="G136" s="66">
        <v>4.1100000000000003</v>
      </c>
      <c r="H136" s="73">
        <f t="shared" si="6"/>
        <v>12.330000000000002</v>
      </c>
    </row>
    <row r="137" spans="1:8" ht="30">
      <c r="A137" s="113">
        <v>4</v>
      </c>
      <c r="B137" s="67">
        <v>3767</v>
      </c>
      <c r="C137" s="65" t="s">
        <v>29</v>
      </c>
      <c r="D137" s="248" t="s">
        <v>438</v>
      </c>
      <c r="E137" s="249" t="s">
        <v>389</v>
      </c>
      <c r="F137" s="68">
        <v>0.2</v>
      </c>
      <c r="G137" s="66">
        <v>0.39</v>
      </c>
      <c r="H137" s="73">
        <f t="shared" si="6"/>
        <v>7.8000000000000014E-2</v>
      </c>
    </row>
    <row r="138" spans="1:8" ht="15.75">
      <c r="A138" s="113">
        <v>5</v>
      </c>
      <c r="B138" s="67">
        <v>9838</v>
      </c>
      <c r="C138" s="65" t="s">
        <v>29</v>
      </c>
      <c r="D138" s="248" t="s">
        <v>443</v>
      </c>
      <c r="E138" s="249" t="s">
        <v>16</v>
      </c>
      <c r="F138" s="68">
        <v>8</v>
      </c>
      <c r="G138" s="66">
        <v>5.2</v>
      </c>
      <c r="H138" s="73">
        <f t="shared" si="6"/>
        <v>41.6</v>
      </c>
    </row>
    <row r="139" spans="1:8" ht="30">
      <c r="A139" s="113">
        <v>6</v>
      </c>
      <c r="B139" s="67">
        <v>88267</v>
      </c>
      <c r="C139" s="65" t="s">
        <v>29</v>
      </c>
      <c r="D139" s="248" t="s">
        <v>440</v>
      </c>
      <c r="E139" s="249" t="s">
        <v>145</v>
      </c>
      <c r="F139" s="68">
        <v>0.3</v>
      </c>
      <c r="G139" s="66">
        <v>21.25</v>
      </c>
      <c r="H139" s="73">
        <f t="shared" si="6"/>
        <v>6.375</v>
      </c>
    </row>
    <row r="140" spans="1:8" ht="16.5" thickBot="1">
      <c r="A140" s="113"/>
      <c r="B140" s="67">
        <v>88316</v>
      </c>
      <c r="C140" s="65" t="s">
        <v>29</v>
      </c>
      <c r="D140" s="72" t="s">
        <v>148</v>
      </c>
      <c r="E140" s="249" t="s">
        <v>145</v>
      </c>
      <c r="F140" s="68">
        <v>0.3</v>
      </c>
      <c r="G140" s="66">
        <v>14.03</v>
      </c>
      <c r="H140" s="73">
        <f t="shared" si="6"/>
        <v>4.2089999999999996</v>
      </c>
    </row>
    <row r="141" spans="1:8" ht="18" thickBot="1">
      <c r="A141" s="400" t="s">
        <v>146</v>
      </c>
      <c r="B141" s="401"/>
      <c r="C141" s="401"/>
      <c r="D141" s="401"/>
      <c r="E141" s="401"/>
      <c r="F141" s="401"/>
      <c r="G141" s="402"/>
      <c r="H141" s="74">
        <f>SUM(H134:H140)</f>
        <v>72.006500000000003</v>
      </c>
    </row>
    <row r="142" spans="1:8" ht="18" thickBot="1">
      <c r="A142" s="241"/>
      <c r="B142" s="241"/>
      <c r="C142" s="241"/>
      <c r="D142" s="241"/>
      <c r="E142" s="241"/>
      <c r="F142" s="241"/>
      <c r="G142" s="241"/>
      <c r="H142" s="242"/>
    </row>
    <row r="143" spans="1:8" ht="15.75" thickBot="1">
      <c r="A143" s="406" t="s">
        <v>794</v>
      </c>
      <c r="B143" s="407"/>
      <c r="C143" s="407"/>
      <c r="D143" s="407"/>
      <c r="E143" s="407"/>
      <c r="F143" s="407"/>
      <c r="G143" s="407"/>
      <c r="H143" s="408"/>
    </row>
    <row r="144" spans="1:8" ht="15">
      <c r="A144" s="403" t="s">
        <v>433</v>
      </c>
      <c r="B144" s="404"/>
      <c r="C144" s="404"/>
      <c r="D144" s="404"/>
      <c r="E144" s="404"/>
      <c r="F144" s="404"/>
      <c r="G144" s="404"/>
      <c r="H144" s="405"/>
    </row>
    <row r="145" spans="1:8">
      <c r="A145" s="69" t="s">
        <v>10</v>
      </c>
      <c r="B145" s="63" t="s">
        <v>24</v>
      </c>
      <c r="C145" s="63" t="s">
        <v>28</v>
      </c>
      <c r="D145" s="63" t="s">
        <v>140</v>
      </c>
      <c r="E145" s="63" t="s">
        <v>141</v>
      </c>
      <c r="F145" s="63" t="s">
        <v>142</v>
      </c>
      <c r="G145" s="63" t="s">
        <v>143</v>
      </c>
      <c r="H145" s="70" t="s">
        <v>144</v>
      </c>
    </row>
    <row r="146" spans="1:8" ht="30">
      <c r="A146" s="113">
        <v>1</v>
      </c>
      <c r="B146" s="67">
        <v>3520</v>
      </c>
      <c r="C146" s="65" t="s">
        <v>29</v>
      </c>
      <c r="D146" s="271" t="s">
        <v>444</v>
      </c>
      <c r="E146" s="249" t="s">
        <v>389</v>
      </c>
      <c r="F146" s="68">
        <v>2</v>
      </c>
      <c r="G146" s="66">
        <v>4.8099999999999996</v>
      </c>
      <c r="H146" s="73">
        <f>F146*G146</f>
        <v>9.6199999999999992</v>
      </c>
    </row>
    <row r="147" spans="1:8" ht="30">
      <c r="A147" s="113">
        <v>2</v>
      </c>
      <c r="B147" s="67">
        <v>9836</v>
      </c>
      <c r="C147" s="65" t="s">
        <v>29</v>
      </c>
      <c r="D147" s="248" t="s">
        <v>445</v>
      </c>
      <c r="E147" s="249" t="s">
        <v>389</v>
      </c>
      <c r="F147" s="68">
        <v>4</v>
      </c>
      <c r="G147" s="66">
        <v>8.4700000000000006</v>
      </c>
      <c r="H147" s="73">
        <f>F147*G147</f>
        <v>33.880000000000003</v>
      </c>
    </row>
    <row r="148" spans="1:8" ht="30">
      <c r="A148" s="113">
        <v>3</v>
      </c>
      <c r="B148" s="67">
        <v>10908</v>
      </c>
      <c r="C148" s="65" t="s">
        <v>29</v>
      </c>
      <c r="D148" s="250" t="s">
        <v>446</v>
      </c>
      <c r="E148" s="249" t="s">
        <v>389</v>
      </c>
      <c r="F148" s="68">
        <v>1</v>
      </c>
      <c r="G148" s="66">
        <v>10.09</v>
      </c>
      <c r="H148" s="73">
        <f>F148*G148</f>
        <v>10.09</v>
      </c>
    </row>
    <row r="149" spans="1:8" ht="30">
      <c r="A149" s="113"/>
      <c r="B149" s="67">
        <v>88267</v>
      </c>
      <c r="C149" s="65" t="s">
        <v>29</v>
      </c>
      <c r="D149" s="248" t="s">
        <v>440</v>
      </c>
      <c r="E149" s="249" t="s">
        <v>145</v>
      </c>
      <c r="F149" s="68">
        <v>0.4</v>
      </c>
      <c r="G149" s="66">
        <v>21.25</v>
      </c>
      <c r="H149" s="73">
        <f>F149*G149</f>
        <v>8.5</v>
      </c>
    </row>
    <row r="150" spans="1:8" ht="16.5" thickBot="1">
      <c r="A150" s="113"/>
      <c r="B150" s="67">
        <v>88316</v>
      </c>
      <c r="C150" s="65" t="s">
        <v>29</v>
      </c>
      <c r="D150" s="72" t="s">
        <v>148</v>
      </c>
      <c r="E150" s="249" t="s">
        <v>145</v>
      </c>
      <c r="F150" s="68">
        <v>0.4</v>
      </c>
      <c r="G150" s="66">
        <v>14.03</v>
      </c>
      <c r="H150" s="73">
        <f>F150*G150</f>
        <v>5.6120000000000001</v>
      </c>
    </row>
    <row r="151" spans="1:8" ht="18" thickBot="1">
      <c r="A151" s="400" t="s">
        <v>146</v>
      </c>
      <c r="B151" s="401"/>
      <c r="C151" s="401"/>
      <c r="D151" s="401"/>
      <c r="E151" s="401"/>
      <c r="F151" s="401"/>
      <c r="G151" s="402"/>
      <c r="H151" s="74">
        <f>SUM(H146:H150)</f>
        <v>67.701999999999998</v>
      </c>
    </row>
    <row r="152" spans="1:8" ht="18" thickBot="1">
      <c r="A152" s="241"/>
      <c r="B152" s="241"/>
      <c r="C152" s="241"/>
      <c r="D152" s="241"/>
      <c r="E152" s="241"/>
      <c r="F152" s="241"/>
      <c r="G152" s="241"/>
      <c r="H152" s="242"/>
    </row>
    <row r="153" spans="1:8" ht="15.75" thickBot="1">
      <c r="A153" s="406" t="s">
        <v>795</v>
      </c>
      <c r="B153" s="407"/>
      <c r="C153" s="407"/>
      <c r="D153" s="407"/>
      <c r="E153" s="407"/>
      <c r="F153" s="407"/>
      <c r="G153" s="407"/>
      <c r="H153" s="408"/>
    </row>
    <row r="154" spans="1:8" ht="15">
      <c r="A154" s="403" t="s">
        <v>501</v>
      </c>
      <c r="B154" s="404"/>
      <c r="C154" s="404"/>
      <c r="D154" s="404"/>
      <c r="E154" s="404"/>
      <c r="F154" s="404"/>
      <c r="G154" s="404"/>
      <c r="H154" s="405"/>
    </row>
    <row r="155" spans="1:8">
      <c r="A155" s="69" t="s">
        <v>10</v>
      </c>
      <c r="B155" s="63" t="s">
        <v>24</v>
      </c>
      <c r="C155" s="63" t="s">
        <v>28</v>
      </c>
      <c r="D155" s="63" t="s">
        <v>140</v>
      </c>
      <c r="E155" s="63" t="s">
        <v>141</v>
      </c>
      <c r="F155" s="63" t="s">
        <v>142</v>
      </c>
      <c r="G155" s="63" t="s">
        <v>143</v>
      </c>
      <c r="H155" s="70" t="s">
        <v>144</v>
      </c>
    </row>
    <row r="156" spans="1:8" ht="30">
      <c r="A156" s="113">
        <v>1</v>
      </c>
      <c r="B156" s="67">
        <v>11688</v>
      </c>
      <c r="C156" s="65" t="s">
        <v>29</v>
      </c>
      <c r="D156" s="250" t="s">
        <v>501</v>
      </c>
      <c r="E156" s="249" t="s">
        <v>389</v>
      </c>
      <c r="F156" s="68">
        <v>1</v>
      </c>
      <c r="G156" s="66">
        <v>326.25</v>
      </c>
      <c r="H156" s="73">
        <f t="shared" ref="H156:H163" si="7">F156*G156</f>
        <v>326.25</v>
      </c>
    </row>
    <row r="157" spans="1:8" ht="45">
      <c r="A157" s="113">
        <v>2</v>
      </c>
      <c r="B157" s="67">
        <v>4384</v>
      </c>
      <c r="C157" s="65" t="s">
        <v>29</v>
      </c>
      <c r="D157" s="250" t="s">
        <v>502</v>
      </c>
      <c r="E157" s="249" t="s">
        <v>389</v>
      </c>
      <c r="F157" s="68">
        <v>4</v>
      </c>
      <c r="G157" s="66">
        <v>12.46</v>
      </c>
      <c r="H157" s="73">
        <f t="shared" si="7"/>
        <v>49.84</v>
      </c>
    </row>
    <row r="158" spans="1:8" ht="15.75">
      <c r="A158" s="113">
        <v>3</v>
      </c>
      <c r="B158" s="67">
        <v>20262</v>
      </c>
      <c r="C158" s="65" t="s">
        <v>29</v>
      </c>
      <c r="D158" s="248" t="s">
        <v>503</v>
      </c>
      <c r="E158" s="249"/>
      <c r="F158" s="68">
        <v>1</v>
      </c>
      <c r="G158" s="66">
        <v>8.82</v>
      </c>
      <c r="H158" s="73">
        <f t="shared" si="7"/>
        <v>8.82</v>
      </c>
    </row>
    <row r="159" spans="1:8" ht="15.75">
      <c r="A159" s="113">
        <v>4</v>
      </c>
      <c r="B159" s="67">
        <v>3146</v>
      </c>
      <c r="C159" s="65" t="s">
        <v>29</v>
      </c>
      <c r="D159" s="248" t="s">
        <v>504</v>
      </c>
      <c r="E159" s="249"/>
      <c r="F159" s="68">
        <v>0.05</v>
      </c>
      <c r="G159" s="66">
        <v>2.23</v>
      </c>
      <c r="H159" s="73">
        <f t="shared" si="7"/>
        <v>0.1115</v>
      </c>
    </row>
    <row r="160" spans="1:8" ht="15.75">
      <c r="A160" s="113">
        <v>5</v>
      </c>
      <c r="B160" s="67">
        <v>37588</v>
      </c>
      <c r="C160" s="65" t="s">
        <v>29</v>
      </c>
      <c r="D160" s="248" t="s">
        <v>505</v>
      </c>
      <c r="E160" s="249"/>
      <c r="F160" s="68">
        <v>1</v>
      </c>
      <c r="G160" s="66">
        <v>17.850000000000001</v>
      </c>
      <c r="H160" s="73">
        <f t="shared" si="7"/>
        <v>17.850000000000001</v>
      </c>
    </row>
    <row r="161" spans="1:8" ht="15.75">
      <c r="A161" s="113">
        <v>6</v>
      </c>
      <c r="B161" s="67">
        <v>13984</v>
      </c>
      <c r="C161" s="65" t="s">
        <v>29</v>
      </c>
      <c r="D161" s="248" t="s">
        <v>506</v>
      </c>
      <c r="E161" s="249" t="s">
        <v>389</v>
      </c>
      <c r="F161" s="68">
        <v>1</v>
      </c>
      <c r="G161" s="66">
        <v>32.79</v>
      </c>
      <c r="H161" s="73">
        <f t="shared" si="7"/>
        <v>32.79</v>
      </c>
    </row>
    <row r="162" spans="1:8" ht="30">
      <c r="A162" s="113">
        <v>7</v>
      </c>
      <c r="B162" s="67">
        <v>88267</v>
      </c>
      <c r="C162" s="65" t="s">
        <v>29</v>
      </c>
      <c r="D162" s="248" t="s">
        <v>440</v>
      </c>
      <c r="E162" s="249" t="s">
        <v>145</v>
      </c>
      <c r="F162" s="68">
        <v>3</v>
      </c>
      <c r="G162" s="66">
        <v>21.25</v>
      </c>
      <c r="H162" s="73">
        <f t="shared" si="7"/>
        <v>63.75</v>
      </c>
    </row>
    <row r="163" spans="1:8" ht="16.5" thickBot="1">
      <c r="A163" s="113">
        <v>8</v>
      </c>
      <c r="B163" s="67">
        <v>88316</v>
      </c>
      <c r="C163" s="65" t="s">
        <v>29</v>
      </c>
      <c r="D163" s="72" t="s">
        <v>148</v>
      </c>
      <c r="E163" s="249" t="s">
        <v>145</v>
      </c>
      <c r="F163" s="68">
        <v>0.5</v>
      </c>
      <c r="G163" s="66">
        <v>14.03</v>
      </c>
      <c r="H163" s="73">
        <f t="shared" si="7"/>
        <v>7.0149999999999997</v>
      </c>
    </row>
    <row r="164" spans="1:8" ht="18" thickBot="1">
      <c r="A164" s="400" t="s">
        <v>146</v>
      </c>
      <c r="B164" s="401"/>
      <c r="C164" s="401"/>
      <c r="D164" s="401"/>
      <c r="E164" s="401"/>
      <c r="F164" s="401"/>
      <c r="G164" s="402"/>
      <c r="H164" s="74">
        <f>SUM(H156:H163)</f>
        <v>506.42650000000003</v>
      </c>
    </row>
    <row r="165" spans="1:8" ht="18" thickBot="1">
      <c r="A165" s="241"/>
      <c r="B165" s="241"/>
      <c r="C165" s="241"/>
      <c r="D165" s="241"/>
      <c r="E165" s="241"/>
      <c r="F165" s="241"/>
      <c r="G165" s="241"/>
      <c r="H165" s="242"/>
    </row>
    <row r="166" spans="1:8" ht="15.75" thickBot="1">
      <c r="A166" s="406" t="s">
        <v>796</v>
      </c>
      <c r="B166" s="407"/>
      <c r="C166" s="407"/>
      <c r="D166" s="407"/>
      <c r="E166" s="407"/>
      <c r="F166" s="407"/>
      <c r="G166" s="407"/>
      <c r="H166" s="408"/>
    </row>
    <row r="167" spans="1:8" ht="15">
      <c r="A167" s="403" t="s">
        <v>508</v>
      </c>
      <c r="B167" s="404"/>
      <c r="C167" s="404"/>
      <c r="D167" s="404"/>
      <c r="E167" s="404"/>
      <c r="F167" s="404"/>
      <c r="G167" s="404"/>
      <c r="H167" s="405"/>
    </row>
    <row r="168" spans="1:8">
      <c r="A168" s="69" t="s">
        <v>10</v>
      </c>
      <c r="B168" s="63" t="s">
        <v>24</v>
      </c>
      <c r="C168" s="63" t="s">
        <v>28</v>
      </c>
      <c r="D168" s="63" t="s">
        <v>140</v>
      </c>
      <c r="E168" s="63" t="s">
        <v>141</v>
      </c>
      <c r="F168" s="63" t="s">
        <v>142</v>
      </c>
      <c r="G168" s="63" t="s">
        <v>143</v>
      </c>
      <c r="H168" s="70" t="s">
        <v>144</v>
      </c>
    </row>
    <row r="169" spans="1:8" ht="15.75">
      <c r="A169" s="113">
        <v>1</v>
      </c>
      <c r="B169" s="67">
        <v>11762</v>
      </c>
      <c r="C169" s="65" t="s">
        <v>29</v>
      </c>
      <c r="D169" s="250" t="s">
        <v>509</v>
      </c>
      <c r="E169" s="249" t="s">
        <v>389</v>
      </c>
      <c r="F169" s="68">
        <v>1</v>
      </c>
      <c r="G169" s="66">
        <v>46.93</v>
      </c>
      <c r="H169" s="73">
        <f>F169*G169</f>
        <v>46.93</v>
      </c>
    </row>
    <row r="170" spans="1:8" ht="15.75">
      <c r="A170" s="113">
        <v>2</v>
      </c>
      <c r="B170" s="67">
        <v>3146</v>
      </c>
      <c r="C170" s="65" t="s">
        <v>29</v>
      </c>
      <c r="D170" s="248" t="s">
        <v>504</v>
      </c>
      <c r="E170" s="249"/>
      <c r="F170" s="68">
        <v>3.04E-2</v>
      </c>
      <c r="G170" s="66">
        <v>2.23</v>
      </c>
      <c r="H170" s="73">
        <f>F170*G170</f>
        <v>6.7792000000000005E-2</v>
      </c>
    </row>
    <row r="171" spans="1:8" ht="30">
      <c r="A171" s="113">
        <v>7</v>
      </c>
      <c r="B171" s="67">
        <v>88267</v>
      </c>
      <c r="C171" s="65" t="s">
        <v>29</v>
      </c>
      <c r="D171" s="248" t="s">
        <v>440</v>
      </c>
      <c r="E171" s="249" t="s">
        <v>145</v>
      </c>
      <c r="F171" s="68">
        <v>0.15</v>
      </c>
      <c r="G171" s="66">
        <v>21.25</v>
      </c>
      <c r="H171" s="73">
        <f>F171*G171</f>
        <v>3.1875</v>
      </c>
    </row>
    <row r="172" spans="1:8" ht="16.5" thickBot="1">
      <c r="A172" s="113">
        <v>8</v>
      </c>
      <c r="B172" s="67">
        <v>88316</v>
      </c>
      <c r="C172" s="65" t="s">
        <v>29</v>
      </c>
      <c r="D172" s="72" t="s">
        <v>148</v>
      </c>
      <c r="E172" s="249" t="s">
        <v>145</v>
      </c>
      <c r="F172" s="68">
        <v>0.05</v>
      </c>
      <c r="G172" s="66">
        <v>14.03</v>
      </c>
      <c r="H172" s="73">
        <f>F172*G172</f>
        <v>0.70150000000000001</v>
      </c>
    </row>
    <row r="173" spans="1:8" ht="18" thickBot="1">
      <c r="A173" s="400" t="s">
        <v>146</v>
      </c>
      <c r="B173" s="401"/>
      <c r="C173" s="401"/>
      <c r="D173" s="401"/>
      <c r="E173" s="401"/>
      <c r="F173" s="401"/>
      <c r="G173" s="402"/>
      <c r="H173" s="74">
        <f>SUM(H169:H172)</f>
        <v>50.886792</v>
      </c>
    </row>
    <row r="174" spans="1:8" ht="18" thickBot="1">
      <c r="A174" s="241"/>
      <c r="B174" s="241"/>
      <c r="C174" s="241"/>
      <c r="D174" s="241"/>
      <c r="E174" s="241"/>
      <c r="F174" s="241"/>
      <c r="G174" s="241"/>
      <c r="H174" s="242"/>
    </row>
    <row r="175" spans="1:8" ht="15.75" thickBot="1">
      <c r="A175" s="406" t="s">
        <v>797</v>
      </c>
      <c r="B175" s="407"/>
      <c r="C175" s="407"/>
      <c r="D175" s="407"/>
      <c r="E175" s="407"/>
      <c r="F175" s="407"/>
      <c r="G175" s="407"/>
      <c r="H175" s="408"/>
    </row>
    <row r="176" spans="1:8" ht="15">
      <c r="A176" s="403" t="s">
        <v>512</v>
      </c>
      <c r="B176" s="404"/>
      <c r="C176" s="404"/>
      <c r="D176" s="404"/>
      <c r="E176" s="404"/>
      <c r="F176" s="404"/>
      <c r="G176" s="404"/>
      <c r="H176" s="405"/>
    </row>
    <row r="177" spans="1:8">
      <c r="A177" s="69" t="s">
        <v>10</v>
      </c>
      <c r="B177" s="63" t="s">
        <v>24</v>
      </c>
      <c r="C177" s="63" t="s">
        <v>28</v>
      </c>
      <c r="D177" s="63" t="s">
        <v>140</v>
      </c>
      <c r="E177" s="63" t="s">
        <v>141</v>
      </c>
      <c r="F177" s="63" t="s">
        <v>142</v>
      </c>
      <c r="G177" s="63" t="s">
        <v>143</v>
      </c>
      <c r="H177" s="70" t="s">
        <v>144</v>
      </c>
    </row>
    <row r="178" spans="1:8" ht="30">
      <c r="A178" s="113">
        <v>1</v>
      </c>
      <c r="B178" s="67">
        <v>36081</v>
      </c>
      <c r="C178" s="65" t="s">
        <v>29</v>
      </c>
      <c r="D178" s="250" t="s">
        <v>512</v>
      </c>
      <c r="E178" s="249" t="s">
        <v>389</v>
      </c>
      <c r="F178" s="68">
        <v>1</v>
      </c>
      <c r="G178" s="66">
        <v>157.9</v>
      </c>
      <c r="H178" s="73">
        <f>F178*G178</f>
        <v>157.9</v>
      </c>
    </row>
    <row r="179" spans="1:8" ht="15.75">
      <c r="A179" s="113">
        <v>2</v>
      </c>
      <c r="B179" s="67">
        <v>88309</v>
      </c>
      <c r="C179" s="65" t="s">
        <v>29</v>
      </c>
      <c r="D179" s="248" t="s">
        <v>513</v>
      </c>
      <c r="E179" s="249" t="s">
        <v>145</v>
      </c>
      <c r="F179" s="68">
        <v>0.3</v>
      </c>
      <c r="G179" s="66">
        <v>17.72</v>
      </c>
      <c r="H179" s="73">
        <f>F179*G179</f>
        <v>5.3159999999999998</v>
      </c>
    </row>
    <row r="180" spans="1:8" ht="16.5" thickBot="1">
      <c r="A180" s="113">
        <v>3</v>
      </c>
      <c r="B180" s="67">
        <v>88316</v>
      </c>
      <c r="C180" s="65" t="s">
        <v>29</v>
      </c>
      <c r="D180" s="72" t="s">
        <v>148</v>
      </c>
      <c r="E180" s="249" t="s">
        <v>145</v>
      </c>
      <c r="F180" s="68">
        <v>0.3</v>
      </c>
      <c r="G180" s="66">
        <v>14.03</v>
      </c>
      <c r="H180" s="73">
        <f>F180*G180</f>
        <v>4.2089999999999996</v>
      </c>
    </row>
    <row r="181" spans="1:8" ht="18" thickBot="1">
      <c r="A181" s="400" t="s">
        <v>146</v>
      </c>
      <c r="B181" s="401"/>
      <c r="C181" s="401"/>
      <c r="D181" s="401"/>
      <c r="E181" s="401"/>
      <c r="F181" s="401"/>
      <c r="G181" s="402"/>
      <c r="H181" s="74">
        <f>SUM(H178:H180)</f>
        <v>167.42500000000001</v>
      </c>
    </row>
    <row r="182" spans="1:8" ht="18" thickBot="1">
      <c r="A182" s="241"/>
      <c r="B182" s="241"/>
      <c r="C182" s="241"/>
      <c r="D182" s="241"/>
      <c r="E182" s="241"/>
      <c r="F182" s="241"/>
      <c r="G182" s="241"/>
      <c r="H182" s="242"/>
    </row>
    <row r="183" spans="1:8" ht="15.75" thickBot="1">
      <c r="A183" s="406" t="s">
        <v>798</v>
      </c>
      <c r="B183" s="407"/>
      <c r="C183" s="407"/>
      <c r="D183" s="407"/>
      <c r="E183" s="407"/>
      <c r="F183" s="407"/>
      <c r="G183" s="407"/>
      <c r="H183" s="408"/>
    </row>
    <row r="184" spans="1:8" ht="15">
      <c r="A184" s="403" t="s">
        <v>539</v>
      </c>
      <c r="B184" s="404"/>
      <c r="C184" s="404"/>
      <c r="D184" s="404"/>
      <c r="E184" s="404"/>
      <c r="F184" s="404"/>
      <c r="G184" s="404"/>
      <c r="H184" s="405"/>
    </row>
    <row r="185" spans="1:8">
      <c r="A185" s="69" t="s">
        <v>10</v>
      </c>
      <c r="B185" s="63" t="s">
        <v>24</v>
      </c>
      <c r="C185" s="63" t="s">
        <v>28</v>
      </c>
      <c r="D185" s="63" t="s">
        <v>140</v>
      </c>
      <c r="E185" s="63" t="s">
        <v>141</v>
      </c>
      <c r="F185" s="63" t="s">
        <v>142</v>
      </c>
      <c r="G185" s="63" t="s">
        <v>143</v>
      </c>
      <c r="H185" s="70" t="s">
        <v>144</v>
      </c>
    </row>
    <row r="186" spans="1:8" ht="30">
      <c r="A186" s="113">
        <v>1</v>
      </c>
      <c r="B186" s="304">
        <v>83397</v>
      </c>
      <c r="C186" s="65" t="s">
        <v>29</v>
      </c>
      <c r="D186" s="305" t="s">
        <v>840</v>
      </c>
      <c r="E186" s="249" t="s">
        <v>389</v>
      </c>
      <c r="F186" s="68">
        <v>1</v>
      </c>
      <c r="G186" s="66">
        <v>1103.02</v>
      </c>
      <c r="H186" s="73">
        <f>F186*G186</f>
        <v>1103.02</v>
      </c>
    </row>
    <row r="187" spans="1:8" ht="30">
      <c r="A187" s="113">
        <v>2</v>
      </c>
      <c r="B187" s="67">
        <v>406</v>
      </c>
      <c r="C187" s="65" t="s">
        <v>29</v>
      </c>
      <c r="D187" s="248" t="s">
        <v>515</v>
      </c>
      <c r="E187" s="249" t="s">
        <v>389</v>
      </c>
      <c r="F187" s="68" t="s">
        <v>516</v>
      </c>
      <c r="G187" s="66">
        <v>56.35</v>
      </c>
      <c r="H187" s="73">
        <f t="shared" ref="H187:H204" si="8">F187*G187</f>
        <v>7.5133314549999994</v>
      </c>
    </row>
    <row r="188" spans="1:8" ht="30">
      <c r="A188" s="113">
        <v>3</v>
      </c>
      <c r="B188" s="67">
        <v>420</v>
      </c>
      <c r="C188" s="65" t="s">
        <v>29</v>
      </c>
      <c r="D188" s="248" t="s">
        <v>517</v>
      </c>
      <c r="E188" s="249" t="s">
        <v>389</v>
      </c>
      <c r="F188" s="68" t="s">
        <v>518</v>
      </c>
      <c r="G188" s="66">
        <v>20.75</v>
      </c>
      <c r="H188" s="73">
        <f t="shared" si="8"/>
        <v>41.5</v>
      </c>
    </row>
    <row r="189" spans="1:8" ht="15.75">
      <c r="A189" s="113">
        <v>4</v>
      </c>
      <c r="B189" s="67">
        <v>857</v>
      </c>
      <c r="C189" s="65" t="s">
        <v>29</v>
      </c>
      <c r="D189" s="248" t="s">
        <v>519</v>
      </c>
      <c r="E189" s="249" t="s">
        <v>16</v>
      </c>
      <c r="F189" s="68" t="s">
        <v>520</v>
      </c>
      <c r="G189" s="66">
        <v>9.51</v>
      </c>
      <c r="H189" s="73">
        <f t="shared" si="8"/>
        <v>28.53</v>
      </c>
    </row>
    <row r="190" spans="1:8" ht="30">
      <c r="A190" s="113">
        <v>5</v>
      </c>
      <c r="B190" s="67">
        <v>937</v>
      </c>
      <c r="C190" s="65" t="s">
        <v>29</v>
      </c>
      <c r="D190" s="248" t="s">
        <v>521</v>
      </c>
      <c r="E190" s="249" t="s">
        <v>16</v>
      </c>
      <c r="F190" s="68" t="s">
        <v>522</v>
      </c>
      <c r="G190" s="66">
        <v>4.54</v>
      </c>
      <c r="H190" s="73">
        <f t="shared" si="8"/>
        <v>122.58</v>
      </c>
    </row>
    <row r="191" spans="1:8" ht="30">
      <c r="A191" s="113">
        <v>6</v>
      </c>
      <c r="B191" s="67">
        <v>1062</v>
      </c>
      <c r="C191" s="65" t="s">
        <v>29</v>
      </c>
      <c r="D191" s="248" t="s">
        <v>523</v>
      </c>
      <c r="E191" s="249" t="s">
        <v>389</v>
      </c>
      <c r="F191" s="68" t="s">
        <v>524</v>
      </c>
      <c r="G191" s="66">
        <v>88.81</v>
      </c>
      <c r="H191" s="73">
        <f t="shared" si="8"/>
        <v>88.81</v>
      </c>
    </row>
    <row r="192" spans="1:8" ht="30">
      <c r="A192" s="113">
        <v>7</v>
      </c>
      <c r="B192" s="67">
        <v>1096</v>
      </c>
      <c r="C192" s="65" t="s">
        <v>29</v>
      </c>
      <c r="D192" s="248" t="s">
        <v>525</v>
      </c>
      <c r="E192" s="249" t="s">
        <v>389</v>
      </c>
      <c r="F192" s="68" t="s">
        <v>518</v>
      </c>
      <c r="G192" s="66">
        <v>68.88</v>
      </c>
      <c r="H192" s="73">
        <f t="shared" si="8"/>
        <v>137.76</v>
      </c>
    </row>
    <row r="193" spans="1:8" ht="30">
      <c r="A193" s="113">
        <v>8</v>
      </c>
      <c r="B193" s="67">
        <v>1539</v>
      </c>
      <c r="C193" s="65" t="s">
        <v>29</v>
      </c>
      <c r="D193" s="248" t="s">
        <v>526</v>
      </c>
      <c r="E193" s="249" t="s">
        <v>389</v>
      </c>
      <c r="F193" s="68" t="s">
        <v>527</v>
      </c>
      <c r="G193" s="66">
        <v>4.0199999999999996</v>
      </c>
      <c r="H193" s="73">
        <f t="shared" si="8"/>
        <v>32.159999999999997</v>
      </c>
    </row>
    <row r="194" spans="1:8" ht="15.75">
      <c r="A194" s="113">
        <v>9</v>
      </c>
      <c r="B194" s="67">
        <v>1892</v>
      </c>
      <c r="C194" s="65" t="s">
        <v>29</v>
      </c>
      <c r="D194" s="248" t="s">
        <v>528</v>
      </c>
      <c r="E194" s="249" t="s">
        <v>389</v>
      </c>
      <c r="F194" s="68" t="s">
        <v>529</v>
      </c>
      <c r="G194" s="66">
        <v>1.1599999999999999</v>
      </c>
      <c r="H194" s="73">
        <f t="shared" si="8"/>
        <v>4.6399999999999997</v>
      </c>
    </row>
    <row r="195" spans="1:8" ht="30">
      <c r="A195" s="113">
        <v>10</v>
      </c>
      <c r="B195" s="67">
        <v>2392</v>
      </c>
      <c r="C195" s="65" t="s">
        <v>29</v>
      </c>
      <c r="D195" s="248" t="s">
        <v>530</v>
      </c>
      <c r="E195" s="249" t="s">
        <v>389</v>
      </c>
      <c r="F195" s="68" t="s">
        <v>524</v>
      </c>
      <c r="G195" s="66">
        <v>73.84</v>
      </c>
      <c r="H195" s="73">
        <f t="shared" si="8"/>
        <v>73.84</v>
      </c>
    </row>
    <row r="196" spans="1:8" ht="15.75">
      <c r="A196" s="113">
        <v>11</v>
      </c>
      <c r="B196" s="67">
        <v>2685</v>
      </c>
      <c r="C196" s="65" t="s">
        <v>29</v>
      </c>
      <c r="D196" s="248" t="s">
        <v>531</v>
      </c>
      <c r="E196" s="249" t="s">
        <v>16</v>
      </c>
      <c r="F196" s="68" t="s">
        <v>527</v>
      </c>
      <c r="G196" s="66">
        <v>3.83</v>
      </c>
      <c r="H196" s="73">
        <f t="shared" si="8"/>
        <v>30.64</v>
      </c>
    </row>
    <row r="197" spans="1:8" ht="30">
      <c r="A197" s="113">
        <v>12</v>
      </c>
      <c r="B197" s="67">
        <v>3379</v>
      </c>
      <c r="C197" s="65" t="s">
        <v>29</v>
      </c>
      <c r="D197" s="250" t="s">
        <v>538</v>
      </c>
      <c r="E197" s="249" t="s">
        <v>389</v>
      </c>
      <c r="F197" s="68" t="s">
        <v>524</v>
      </c>
      <c r="G197" s="66">
        <v>27.85</v>
      </c>
      <c r="H197" s="73">
        <f t="shared" si="8"/>
        <v>27.85</v>
      </c>
    </row>
    <row r="198" spans="1:8" ht="45">
      <c r="A198" s="113">
        <v>13</v>
      </c>
      <c r="B198" s="67">
        <v>4346</v>
      </c>
      <c r="C198" s="65" t="s">
        <v>29</v>
      </c>
      <c r="D198" s="248" t="s">
        <v>532</v>
      </c>
      <c r="E198" s="249" t="s">
        <v>389</v>
      </c>
      <c r="F198" s="68" t="s">
        <v>518</v>
      </c>
      <c r="G198" s="66">
        <v>5.62</v>
      </c>
      <c r="H198" s="73">
        <f t="shared" si="8"/>
        <v>11.24</v>
      </c>
    </row>
    <row r="199" spans="1:8" ht="30">
      <c r="A199" s="113">
        <v>14</v>
      </c>
      <c r="B199" s="67">
        <v>11267</v>
      </c>
      <c r="C199" s="65" t="s">
        <v>29</v>
      </c>
      <c r="D199" s="248" t="s">
        <v>533</v>
      </c>
      <c r="E199" s="249" t="s">
        <v>389</v>
      </c>
      <c r="F199" s="68" t="s">
        <v>518</v>
      </c>
      <c r="G199" s="66">
        <v>6.4</v>
      </c>
      <c r="H199" s="73">
        <f t="shared" si="8"/>
        <v>12.8</v>
      </c>
    </row>
    <row r="200" spans="1:8" ht="30">
      <c r="A200" s="113">
        <v>15</v>
      </c>
      <c r="B200" s="67">
        <v>12034</v>
      </c>
      <c r="C200" s="65" t="s">
        <v>29</v>
      </c>
      <c r="D200" s="248" t="s">
        <v>534</v>
      </c>
      <c r="E200" s="249" t="s">
        <v>389</v>
      </c>
      <c r="F200" s="68" t="s">
        <v>518</v>
      </c>
      <c r="G200" s="66">
        <v>3.3</v>
      </c>
      <c r="H200" s="73">
        <f t="shared" si="8"/>
        <v>6.6</v>
      </c>
    </row>
    <row r="201" spans="1:8" ht="15.75">
      <c r="A201" s="113">
        <v>16</v>
      </c>
      <c r="B201" s="67">
        <v>39176</v>
      </c>
      <c r="C201" s="65" t="s">
        <v>29</v>
      </c>
      <c r="D201" s="248" t="s">
        <v>535</v>
      </c>
      <c r="E201" s="249" t="s">
        <v>389</v>
      </c>
      <c r="F201" s="68" t="s">
        <v>518</v>
      </c>
      <c r="G201" s="66">
        <v>0.8</v>
      </c>
      <c r="H201" s="73">
        <f t="shared" si="8"/>
        <v>1.6</v>
      </c>
    </row>
    <row r="202" spans="1:8" ht="15.75">
      <c r="A202" s="113">
        <v>17</v>
      </c>
      <c r="B202" s="67">
        <v>39210</v>
      </c>
      <c r="C202" s="65" t="s">
        <v>29</v>
      </c>
      <c r="D202" s="248" t="s">
        <v>536</v>
      </c>
      <c r="E202" s="249" t="s">
        <v>389</v>
      </c>
      <c r="F202" s="68" t="s">
        <v>518</v>
      </c>
      <c r="G202" s="66">
        <v>0.59</v>
      </c>
      <c r="H202" s="73">
        <f t="shared" si="8"/>
        <v>1.18</v>
      </c>
    </row>
    <row r="203" spans="1:8" ht="15.75">
      <c r="A203" s="113">
        <v>18</v>
      </c>
      <c r="B203" s="67">
        <v>88264</v>
      </c>
      <c r="C203" s="65" t="s">
        <v>29</v>
      </c>
      <c r="D203" s="248" t="s">
        <v>537</v>
      </c>
      <c r="E203" s="249" t="s">
        <v>145</v>
      </c>
      <c r="F203" s="68" t="s">
        <v>527</v>
      </c>
      <c r="G203" s="66">
        <v>21.51</v>
      </c>
      <c r="H203" s="73">
        <f t="shared" si="8"/>
        <v>172.08</v>
      </c>
    </row>
    <row r="204" spans="1:8" ht="16.5" thickBot="1">
      <c r="A204" s="113">
        <v>19</v>
      </c>
      <c r="B204" s="67">
        <v>88316</v>
      </c>
      <c r="C204" s="65" t="s">
        <v>29</v>
      </c>
      <c r="D204" s="248" t="s">
        <v>148</v>
      </c>
      <c r="E204" s="249" t="s">
        <v>145</v>
      </c>
      <c r="F204" s="68" t="s">
        <v>527</v>
      </c>
      <c r="G204" s="66">
        <v>14.03</v>
      </c>
      <c r="H204" s="73">
        <f t="shared" si="8"/>
        <v>112.24</v>
      </c>
    </row>
    <row r="205" spans="1:8" ht="18" thickBot="1">
      <c r="A205" s="400" t="s">
        <v>146</v>
      </c>
      <c r="B205" s="401"/>
      <c r="C205" s="401"/>
      <c r="D205" s="401"/>
      <c r="E205" s="401"/>
      <c r="F205" s="401"/>
      <c r="G205" s="402"/>
      <c r="H205" s="74">
        <f>SUM(H186:H204)</f>
        <v>2016.5833314549998</v>
      </c>
    </row>
    <row r="206" spans="1:8" ht="18" thickBot="1">
      <c r="A206" s="241"/>
      <c r="B206" s="241"/>
      <c r="C206" s="241"/>
      <c r="D206" s="241"/>
      <c r="E206" s="241"/>
      <c r="F206" s="241"/>
      <c r="G206" s="241"/>
      <c r="H206" s="242"/>
    </row>
    <row r="207" spans="1:8" ht="15.75" thickBot="1">
      <c r="A207" s="406" t="s">
        <v>799</v>
      </c>
      <c r="B207" s="407"/>
      <c r="C207" s="407"/>
      <c r="D207" s="407"/>
      <c r="E207" s="407"/>
      <c r="F207" s="407"/>
      <c r="G207" s="407"/>
      <c r="H207" s="408"/>
    </row>
    <row r="208" spans="1:8" ht="32.25" customHeight="1">
      <c r="A208" s="403" t="s">
        <v>567</v>
      </c>
      <c r="B208" s="404"/>
      <c r="C208" s="404"/>
      <c r="D208" s="404"/>
      <c r="E208" s="404"/>
      <c r="F208" s="404"/>
      <c r="G208" s="404"/>
      <c r="H208" s="405"/>
    </row>
    <row r="209" spans="1:10">
      <c r="A209" s="69" t="s">
        <v>10</v>
      </c>
      <c r="B209" s="63" t="s">
        <v>24</v>
      </c>
      <c r="C209" s="63" t="s">
        <v>28</v>
      </c>
      <c r="D209" s="63" t="s">
        <v>140</v>
      </c>
      <c r="E209" s="63" t="s">
        <v>141</v>
      </c>
      <c r="F209" s="63" t="s">
        <v>142</v>
      </c>
      <c r="G209" s="63" t="s">
        <v>143</v>
      </c>
      <c r="H209" s="70" t="s">
        <v>144</v>
      </c>
    </row>
    <row r="210" spans="1:10" ht="45">
      <c r="A210" s="113">
        <v>1</v>
      </c>
      <c r="B210" s="67">
        <v>11795</v>
      </c>
      <c r="C210" s="65" t="s">
        <v>29</v>
      </c>
      <c r="D210" s="247" t="s">
        <v>386</v>
      </c>
      <c r="E210" s="249" t="s">
        <v>387</v>
      </c>
      <c r="F210" s="68">
        <f>J210*'Calc Quant AMPLIAÇÃO'!AC31</f>
        <v>1.1791999999999998</v>
      </c>
      <c r="G210" s="66">
        <v>279.24</v>
      </c>
      <c r="H210" s="73">
        <f>F210*G210</f>
        <v>329.27980799999995</v>
      </c>
      <c r="J210" s="62">
        <f>1.005/0.9</f>
        <v>1.1166666666666665</v>
      </c>
    </row>
    <row r="211" spans="1:10" ht="15.75">
      <c r="A211" s="113">
        <v>2</v>
      </c>
      <c r="B211" s="67">
        <v>4823</v>
      </c>
      <c r="C211" s="65" t="s">
        <v>29</v>
      </c>
      <c r="D211" s="72" t="s">
        <v>384</v>
      </c>
      <c r="E211" s="249" t="s">
        <v>385</v>
      </c>
      <c r="F211" s="68">
        <f>J211*'Calc Quant AMPLIAÇÃO'!AC31</f>
        <v>0.61341866666666667</v>
      </c>
      <c r="G211" s="66">
        <v>28.62</v>
      </c>
      <c r="H211" s="73">
        <f t="shared" ref="H211:H217" si="9">F211*G211</f>
        <v>17.55604224</v>
      </c>
      <c r="J211" s="62">
        <f>0.5228/0.9</f>
        <v>0.5808888888888889</v>
      </c>
    </row>
    <row r="212" spans="1:10" ht="30">
      <c r="A212" s="113">
        <v>3</v>
      </c>
      <c r="B212" s="67">
        <v>7568</v>
      </c>
      <c r="C212" s="65" t="s">
        <v>29</v>
      </c>
      <c r="D212" s="247" t="s">
        <v>388</v>
      </c>
      <c r="E212" s="249" t="s">
        <v>389</v>
      </c>
      <c r="F212" s="68">
        <v>8</v>
      </c>
      <c r="G212" s="66">
        <v>0.61</v>
      </c>
      <c r="H212" s="73">
        <f t="shared" si="9"/>
        <v>4.88</v>
      </c>
      <c r="J212" s="62">
        <f>6/1.5</f>
        <v>4</v>
      </c>
    </row>
    <row r="213" spans="1:10" ht="15.75">
      <c r="A213" s="113">
        <v>4</v>
      </c>
      <c r="B213" s="67">
        <v>37329</v>
      </c>
      <c r="C213" s="65" t="s">
        <v>29</v>
      </c>
      <c r="D213" s="72" t="s">
        <v>390</v>
      </c>
      <c r="E213" s="249" t="s">
        <v>385</v>
      </c>
      <c r="F213" s="68">
        <f>J213*'Calc Quant AMPLIAÇÃO'!AC31</f>
        <v>4.1184000000000005E-2</v>
      </c>
      <c r="G213" s="66">
        <v>44.3</v>
      </c>
      <c r="H213" s="73">
        <f t="shared" si="9"/>
        <v>1.8244512000000002</v>
      </c>
      <c r="J213" s="62">
        <f>0.0351/0.9</f>
        <v>3.9E-2</v>
      </c>
    </row>
    <row r="214" spans="1:10" ht="15.75">
      <c r="A214" s="113">
        <v>5</v>
      </c>
      <c r="B214" s="67">
        <v>88274</v>
      </c>
      <c r="C214" s="65" t="s">
        <v>29</v>
      </c>
      <c r="D214" s="248" t="s">
        <v>391</v>
      </c>
      <c r="E214" s="249" t="s">
        <v>145</v>
      </c>
      <c r="F214" s="68">
        <f>J214*'Calc Quant AMPLIAÇÃO'!AC31</f>
        <v>1.7482666666666666</v>
      </c>
      <c r="G214" s="66">
        <v>19.71</v>
      </c>
      <c r="H214" s="73">
        <f t="shared" si="9"/>
        <v>34.458336000000003</v>
      </c>
      <c r="J214" s="62">
        <f>1.49/0.9</f>
        <v>1.6555555555555554</v>
      </c>
    </row>
    <row r="215" spans="1:10" ht="15.75">
      <c r="A215" s="113">
        <v>6</v>
      </c>
      <c r="B215" s="67">
        <v>88316</v>
      </c>
      <c r="C215" s="65" t="s">
        <v>29</v>
      </c>
      <c r="D215" s="72" t="s">
        <v>148</v>
      </c>
      <c r="E215" s="249" t="s">
        <v>145</v>
      </c>
      <c r="F215" s="68">
        <f>J215*'Calc Quant AMPLIAÇÃO'!AC31</f>
        <v>1.1498666666666666</v>
      </c>
      <c r="G215" s="66">
        <v>14.03</v>
      </c>
      <c r="H215" s="73">
        <f t="shared" si="9"/>
        <v>16.13262933333333</v>
      </c>
      <c r="J215" s="62">
        <f>0.98/0.9</f>
        <v>1.0888888888888888</v>
      </c>
    </row>
    <row r="216" spans="1:10" ht="30">
      <c r="A216" s="113">
        <v>7</v>
      </c>
      <c r="B216" s="67">
        <v>86911</v>
      </c>
      <c r="C216" s="65" t="s">
        <v>29</v>
      </c>
      <c r="D216" s="247" t="s">
        <v>392</v>
      </c>
      <c r="E216" s="249" t="s">
        <v>389</v>
      </c>
      <c r="F216" s="68">
        <v>1</v>
      </c>
      <c r="G216" s="66">
        <v>35.880000000000003</v>
      </c>
      <c r="H216" s="73">
        <f t="shared" si="9"/>
        <v>35.880000000000003</v>
      </c>
    </row>
    <row r="217" spans="1:10" ht="45.75" thickBot="1">
      <c r="A217" s="113">
        <v>8</v>
      </c>
      <c r="B217" s="67">
        <v>86935</v>
      </c>
      <c r="C217" s="65" t="s">
        <v>29</v>
      </c>
      <c r="D217" s="247" t="s">
        <v>318</v>
      </c>
      <c r="E217" s="249" t="s">
        <v>389</v>
      </c>
      <c r="F217" s="68">
        <v>1</v>
      </c>
      <c r="G217" s="66">
        <v>183.37</v>
      </c>
      <c r="H217" s="73">
        <f t="shared" si="9"/>
        <v>183.37</v>
      </c>
    </row>
    <row r="218" spans="1:10" ht="18" thickBot="1">
      <c r="A218" s="400" t="s">
        <v>146</v>
      </c>
      <c r="B218" s="401"/>
      <c r="C218" s="401"/>
      <c r="D218" s="401"/>
      <c r="E218" s="401"/>
      <c r="F218" s="401"/>
      <c r="G218" s="402"/>
      <c r="H218" s="74">
        <f>SUM(H210:H217)</f>
        <v>623.38126677333321</v>
      </c>
    </row>
    <row r="219" spans="1:10" ht="18" thickBot="1">
      <c r="A219" s="241"/>
      <c r="B219" s="241"/>
      <c r="C219" s="241"/>
      <c r="D219" s="241"/>
      <c r="E219" s="241"/>
      <c r="F219" s="241"/>
      <c r="G219" s="241"/>
      <c r="H219" s="242"/>
    </row>
    <row r="220" spans="1:10" ht="15.75" thickBot="1">
      <c r="A220" s="406" t="s">
        <v>800</v>
      </c>
      <c r="B220" s="407"/>
      <c r="C220" s="407"/>
      <c r="D220" s="407"/>
      <c r="E220" s="407"/>
      <c r="F220" s="407"/>
      <c r="G220" s="407"/>
      <c r="H220" s="408"/>
    </row>
    <row r="221" spans="1:10" ht="47.25" customHeight="1">
      <c r="A221" s="403" t="s">
        <v>568</v>
      </c>
      <c r="B221" s="404"/>
      <c r="C221" s="404"/>
      <c r="D221" s="404"/>
      <c r="E221" s="404"/>
      <c r="F221" s="404"/>
      <c r="G221" s="404"/>
      <c r="H221" s="405"/>
    </row>
    <row r="222" spans="1:10">
      <c r="A222" s="69" t="s">
        <v>10</v>
      </c>
      <c r="B222" s="63" t="s">
        <v>24</v>
      </c>
      <c r="C222" s="63" t="s">
        <v>28</v>
      </c>
      <c r="D222" s="63" t="s">
        <v>140</v>
      </c>
      <c r="E222" s="63" t="s">
        <v>141</v>
      </c>
      <c r="F222" s="63" t="s">
        <v>142</v>
      </c>
      <c r="G222" s="63" t="s">
        <v>143</v>
      </c>
      <c r="H222" s="70" t="s">
        <v>144</v>
      </c>
    </row>
    <row r="223" spans="1:10" ht="45">
      <c r="A223" s="113">
        <v>1</v>
      </c>
      <c r="B223" s="67">
        <v>11795</v>
      </c>
      <c r="C223" s="65" t="s">
        <v>29</v>
      </c>
      <c r="D223" s="247" t="s">
        <v>386</v>
      </c>
      <c r="E223" s="249" t="s">
        <v>387</v>
      </c>
      <c r="F223" s="68">
        <f>J223*'Calc Quant AMPLIAÇÃO'!AC32</f>
        <v>2.0099999999999993</v>
      </c>
      <c r="G223" s="66">
        <v>279.24</v>
      </c>
      <c r="H223" s="73">
        <f>F223*G223</f>
        <v>561.27239999999983</v>
      </c>
      <c r="J223" s="62">
        <f>1.005/0.9</f>
        <v>1.1166666666666665</v>
      </c>
    </row>
    <row r="224" spans="1:10" ht="15.75">
      <c r="A224" s="113">
        <v>2</v>
      </c>
      <c r="B224" s="67">
        <v>4823</v>
      </c>
      <c r="C224" s="65" t="s">
        <v>29</v>
      </c>
      <c r="D224" s="72" t="s">
        <v>384</v>
      </c>
      <c r="E224" s="249" t="s">
        <v>385</v>
      </c>
      <c r="F224" s="68">
        <f>J224*'Calc Quant AMPLIAÇÃO'!AC32</f>
        <v>1.0455999999999999</v>
      </c>
      <c r="G224" s="66">
        <v>28.62</v>
      </c>
      <c r="H224" s="73">
        <f t="shared" ref="H224:H230" si="10">F224*G224</f>
        <v>29.925071999999997</v>
      </c>
      <c r="J224" s="62">
        <f>0.5228/0.9</f>
        <v>0.5808888888888889</v>
      </c>
    </row>
    <row r="225" spans="1:10" ht="30">
      <c r="A225" s="113">
        <v>3</v>
      </c>
      <c r="B225" s="67">
        <v>7568</v>
      </c>
      <c r="C225" s="65" t="s">
        <v>29</v>
      </c>
      <c r="D225" s="247" t="s">
        <v>388</v>
      </c>
      <c r="E225" s="249" t="s">
        <v>389</v>
      </c>
      <c r="F225" s="68">
        <f>J225*4</f>
        <v>16</v>
      </c>
      <c r="G225" s="66">
        <v>0.61</v>
      </c>
      <c r="H225" s="73">
        <f t="shared" si="10"/>
        <v>9.76</v>
      </c>
      <c r="J225" s="62">
        <f>6/1.5</f>
        <v>4</v>
      </c>
    </row>
    <row r="226" spans="1:10" ht="15.75">
      <c r="A226" s="113">
        <v>4</v>
      </c>
      <c r="B226" s="67">
        <v>37329</v>
      </c>
      <c r="C226" s="65" t="s">
        <v>29</v>
      </c>
      <c r="D226" s="72" t="s">
        <v>390</v>
      </c>
      <c r="E226" s="249" t="s">
        <v>385</v>
      </c>
      <c r="F226" s="68">
        <f>J226*'Calc Quant AMPLIAÇÃO'!AC32</f>
        <v>7.0199999999999999E-2</v>
      </c>
      <c r="G226" s="66">
        <v>44.3</v>
      </c>
      <c r="H226" s="73">
        <f t="shared" si="10"/>
        <v>3.1098599999999998</v>
      </c>
      <c r="J226" s="62">
        <f>0.0351/0.9</f>
        <v>3.9E-2</v>
      </c>
    </row>
    <row r="227" spans="1:10" ht="15.75">
      <c r="A227" s="113">
        <v>5</v>
      </c>
      <c r="B227" s="67">
        <v>88274</v>
      </c>
      <c r="C227" s="65" t="s">
        <v>29</v>
      </c>
      <c r="D227" s="248" t="s">
        <v>391</v>
      </c>
      <c r="E227" s="249" t="s">
        <v>145</v>
      </c>
      <c r="F227" s="68">
        <f>J227*'Calc Quant AMPLIAÇÃO'!AC32</f>
        <v>2.9799999999999995</v>
      </c>
      <c r="G227" s="66">
        <v>19.71</v>
      </c>
      <c r="H227" s="73">
        <f t="shared" si="10"/>
        <v>58.73579999999999</v>
      </c>
      <c r="J227" s="62">
        <f>1.49/0.9</f>
        <v>1.6555555555555554</v>
      </c>
    </row>
    <row r="228" spans="1:10" ht="15.75">
      <c r="A228" s="113">
        <v>6</v>
      </c>
      <c r="B228" s="67">
        <v>88316</v>
      </c>
      <c r="C228" s="65" t="s">
        <v>29</v>
      </c>
      <c r="D228" s="72" t="s">
        <v>148</v>
      </c>
      <c r="E228" s="249" t="s">
        <v>145</v>
      </c>
      <c r="F228" s="68">
        <f>J228*'Calc Quant AMPLIAÇÃO'!AC32</f>
        <v>1.9599999999999997</v>
      </c>
      <c r="G228" s="66">
        <v>14.03</v>
      </c>
      <c r="H228" s="73">
        <f t="shared" si="10"/>
        <v>27.498799999999996</v>
      </c>
      <c r="J228" s="62">
        <f>0.98/0.9</f>
        <v>1.0888888888888888</v>
      </c>
    </row>
    <row r="229" spans="1:10" ht="30">
      <c r="A229" s="113">
        <v>7</v>
      </c>
      <c r="B229" s="67">
        <v>86911</v>
      </c>
      <c r="C229" s="65" t="s">
        <v>29</v>
      </c>
      <c r="D229" s="247" t="s">
        <v>392</v>
      </c>
      <c r="E229" s="249" t="s">
        <v>389</v>
      </c>
      <c r="F229" s="68">
        <v>1</v>
      </c>
      <c r="G229" s="66">
        <v>35.880000000000003</v>
      </c>
      <c r="H229" s="73">
        <f t="shared" si="10"/>
        <v>35.880000000000003</v>
      </c>
    </row>
    <row r="230" spans="1:10" ht="45">
      <c r="A230" s="113">
        <v>8</v>
      </c>
      <c r="B230" s="67">
        <v>86935</v>
      </c>
      <c r="C230" s="65" t="s">
        <v>29</v>
      </c>
      <c r="D230" s="247" t="s">
        <v>318</v>
      </c>
      <c r="E230" s="249" t="s">
        <v>389</v>
      </c>
      <c r="F230" s="68">
        <v>2</v>
      </c>
      <c r="G230" s="66">
        <v>248.36</v>
      </c>
      <c r="H230" s="73">
        <f t="shared" si="10"/>
        <v>496.72</v>
      </c>
    </row>
    <row r="231" spans="1:10" ht="30">
      <c r="A231" s="113">
        <v>1</v>
      </c>
      <c r="B231" s="67">
        <v>11688</v>
      </c>
      <c r="C231" s="65" t="s">
        <v>29</v>
      </c>
      <c r="D231" s="250" t="s">
        <v>501</v>
      </c>
      <c r="E231" s="249" t="s">
        <v>389</v>
      </c>
      <c r="F231" s="68">
        <v>1</v>
      </c>
      <c r="G231" s="66">
        <v>326.25</v>
      </c>
      <c r="H231" s="73">
        <f t="shared" ref="H231:H236" si="11">F231*G231</f>
        <v>326.25</v>
      </c>
    </row>
    <row r="232" spans="1:10" ht="15.75">
      <c r="A232" s="113">
        <v>3</v>
      </c>
      <c r="B232" s="67">
        <v>20262</v>
      </c>
      <c r="C232" s="65" t="s">
        <v>29</v>
      </c>
      <c r="D232" s="248" t="s">
        <v>503</v>
      </c>
      <c r="E232" s="249"/>
      <c r="F232" s="68">
        <v>1</v>
      </c>
      <c r="G232" s="66">
        <v>8.82</v>
      </c>
      <c r="H232" s="73">
        <f t="shared" si="11"/>
        <v>8.82</v>
      </c>
    </row>
    <row r="233" spans="1:10" ht="15.75">
      <c r="A233" s="113">
        <v>5</v>
      </c>
      <c r="B233" s="67">
        <v>37588</v>
      </c>
      <c r="C233" s="65" t="s">
        <v>29</v>
      </c>
      <c r="D233" s="248" t="s">
        <v>505</v>
      </c>
      <c r="E233" s="249"/>
      <c r="F233" s="68">
        <v>1</v>
      </c>
      <c r="G233" s="66">
        <v>17.850000000000001</v>
      </c>
      <c r="H233" s="73">
        <f t="shared" si="11"/>
        <v>17.850000000000001</v>
      </c>
    </row>
    <row r="234" spans="1:10" ht="15.75">
      <c r="A234" s="113">
        <v>6</v>
      </c>
      <c r="B234" s="67">
        <v>13984</v>
      </c>
      <c r="C234" s="65" t="s">
        <v>29</v>
      </c>
      <c r="D234" s="248" t="s">
        <v>506</v>
      </c>
      <c r="E234" s="249" t="s">
        <v>389</v>
      </c>
      <c r="F234" s="68">
        <v>1</v>
      </c>
      <c r="G234" s="66">
        <v>32.79</v>
      </c>
      <c r="H234" s="73">
        <f t="shared" si="11"/>
        <v>32.79</v>
      </c>
    </row>
    <row r="235" spans="1:10" ht="30">
      <c r="A235" s="113">
        <v>7</v>
      </c>
      <c r="B235" s="67">
        <v>88267</v>
      </c>
      <c r="C235" s="65" t="s">
        <v>29</v>
      </c>
      <c r="D235" s="248" t="s">
        <v>440</v>
      </c>
      <c r="E235" s="249" t="s">
        <v>145</v>
      </c>
      <c r="F235" s="68">
        <v>3</v>
      </c>
      <c r="G235" s="66">
        <v>21.25</v>
      </c>
      <c r="H235" s="73">
        <f t="shared" si="11"/>
        <v>63.75</v>
      </c>
    </row>
    <row r="236" spans="1:10" ht="16.5" thickBot="1">
      <c r="A236" s="113">
        <v>8</v>
      </c>
      <c r="B236" s="67">
        <v>88316</v>
      </c>
      <c r="C236" s="65" t="s">
        <v>29</v>
      </c>
      <c r="D236" s="72" t="s">
        <v>148</v>
      </c>
      <c r="E236" s="249" t="s">
        <v>145</v>
      </c>
      <c r="F236" s="68">
        <v>0.5</v>
      </c>
      <c r="G236" s="66">
        <v>14.03</v>
      </c>
      <c r="H236" s="73">
        <f t="shared" si="11"/>
        <v>7.0149999999999997</v>
      </c>
    </row>
    <row r="237" spans="1:10" ht="18" thickBot="1">
      <c r="A237" s="400" t="s">
        <v>146</v>
      </c>
      <c r="B237" s="401"/>
      <c r="C237" s="401"/>
      <c r="D237" s="401"/>
      <c r="E237" s="401"/>
      <c r="F237" s="401"/>
      <c r="G237" s="402"/>
      <c r="H237" s="74">
        <f>SUM(H223:H236)</f>
        <v>1679.3769319999997</v>
      </c>
    </row>
    <row r="238" spans="1:10" ht="18" thickBot="1">
      <c r="A238" s="241"/>
      <c r="B238" s="241"/>
      <c r="C238" s="241"/>
      <c r="D238" s="241"/>
      <c r="E238" s="241"/>
      <c r="F238" s="241"/>
      <c r="G238" s="241"/>
      <c r="H238" s="242"/>
    </row>
    <row r="239" spans="1:10" ht="15.75" thickBot="1">
      <c r="A239" s="406" t="s">
        <v>801</v>
      </c>
      <c r="B239" s="407"/>
      <c r="C239" s="407"/>
      <c r="D239" s="407"/>
      <c r="E239" s="407"/>
      <c r="F239" s="407"/>
      <c r="G239" s="407"/>
      <c r="H239" s="408"/>
    </row>
    <row r="240" spans="1:10" ht="30" customHeight="1">
      <c r="A240" s="403" t="s">
        <v>569</v>
      </c>
      <c r="B240" s="404"/>
      <c r="C240" s="404"/>
      <c r="D240" s="404"/>
      <c r="E240" s="404"/>
      <c r="F240" s="404"/>
      <c r="G240" s="404"/>
      <c r="H240" s="405"/>
    </row>
    <row r="241" spans="1:10">
      <c r="A241" s="69" t="s">
        <v>10</v>
      </c>
      <c r="B241" s="63" t="s">
        <v>24</v>
      </c>
      <c r="C241" s="63" t="s">
        <v>28</v>
      </c>
      <c r="D241" s="63" t="s">
        <v>140</v>
      </c>
      <c r="E241" s="63" t="s">
        <v>141</v>
      </c>
      <c r="F241" s="63" t="s">
        <v>142</v>
      </c>
      <c r="G241" s="63" t="s">
        <v>143</v>
      </c>
      <c r="H241" s="70" t="s">
        <v>144</v>
      </c>
    </row>
    <row r="242" spans="1:10" ht="45">
      <c r="A242" s="113">
        <v>1</v>
      </c>
      <c r="B242" s="67">
        <v>11795</v>
      </c>
      <c r="C242" s="65" t="s">
        <v>29</v>
      </c>
      <c r="D242" s="247" t="s">
        <v>386</v>
      </c>
      <c r="E242" s="249" t="s">
        <v>387</v>
      </c>
      <c r="F242" s="68">
        <f>J242*'Calc Quant AMPLIAÇÃO'!AC22</f>
        <v>2.0367999999999995</v>
      </c>
      <c r="G242" s="66">
        <v>279.24</v>
      </c>
      <c r="H242" s="73">
        <f>F242*G242</f>
        <v>568.75603199999989</v>
      </c>
      <c r="J242" s="62">
        <f>1.005/0.9</f>
        <v>1.1166666666666665</v>
      </c>
    </row>
    <row r="243" spans="1:10" ht="15.75">
      <c r="A243" s="113">
        <v>2</v>
      </c>
      <c r="B243" s="67">
        <v>4823</v>
      </c>
      <c r="C243" s="65" t="s">
        <v>29</v>
      </c>
      <c r="D243" s="72" t="s">
        <v>384</v>
      </c>
      <c r="E243" s="249" t="s">
        <v>385</v>
      </c>
      <c r="F243" s="68">
        <f>J243*'Calc Quant AMPLIAÇÃO'!AC22</f>
        <v>1.0595413333333332</v>
      </c>
      <c r="G243" s="66">
        <v>28.62</v>
      </c>
      <c r="H243" s="73">
        <f t="shared" ref="H243:H249" si="12">F243*G243</f>
        <v>30.324072959999999</v>
      </c>
      <c r="J243" s="62">
        <f>0.5228/0.9</f>
        <v>0.5808888888888889</v>
      </c>
    </row>
    <row r="244" spans="1:10" ht="30">
      <c r="A244" s="113">
        <v>3</v>
      </c>
      <c r="B244" s="67">
        <v>7568</v>
      </c>
      <c r="C244" s="65" t="s">
        <v>29</v>
      </c>
      <c r="D244" s="247" t="s">
        <v>388</v>
      </c>
      <c r="E244" s="249" t="s">
        <v>389</v>
      </c>
      <c r="F244" s="68">
        <v>8</v>
      </c>
      <c r="G244" s="66">
        <v>0.61</v>
      </c>
      <c r="H244" s="73">
        <f t="shared" si="12"/>
        <v>4.88</v>
      </c>
      <c r="J244" s="62">
        <f>6/1.5</f>
        <v>4</v>
      </c>
    </row>
    <row r="245" spans="1:10" ht="15.75">
      <c r="A245" s="113">
        <v>4</v>
      </c>
      <c r="B245" s="67">
        <v>37329</v>
      </c>
      <c r="C245" s="65" t="s">
        <v>29</v>
      </c>
      <c r="D245" s="72" t="s">
        <v>390</v>
      </c>
      <c r="E245" s="249" t="s">
        <v>385</v>
      </c>
      <c r="F245" s="68">
        <f>J245*'Calc Quant AMPLIAÇÃO'!AC22</f>
        <v>7.1135999999999991E-2</v>
      </c>
      <c r="G245" s="66">
        <v>44.3</v>
      </c>
      <c r="H245" s="73">
        <f t="shared" si="12"/>
        <v>3.1513247999999994</v>
      </c>
      <c r="J245" s="62">
        <f>0.0351/0.9</f>
        <v>3.9E-2</v>
      </c>
    </row>
    <row r="246" spans="1:10" ht="15.75">
      <c r="A246" s="113">
        <v>5</v>
      </c>
      <c r="B246" s="67">
        <v>88274</v>
      </c>
      <c r="C246" s="65" t="s">
        <v>29</v>
      </c>
      <c r="D246" s="248" t="s">
        <v>391</v>
      </c>
      <c r="E246" s="249" t="s">
        <v>145</v>
      </c>
      <c r="F246" s="68">
        <f>J246*'Calc Quant AMPLIAÇÃO'!AC22</f>
        <v>3.0197333333333329</v>
      </c>
      <c r="G246" s="66">
        <v>19.71</v>
      </c>
      <c r="H246" s="73">
        <f t="shared" si="12"/>
        <v>59.518943999999998</v>
      </c>
      <c r="J246" s="62">
        <f>1.49/0.9</f>
        <v>1.6555555555555554</v>
      </c>
    </row>
    <row r="247" spans="1:10" ht="15.75">
      <c r="A247" s="113">
        <v>6</v>
      </c>
      <c r="B247" s="67">
        <v>88316</v>
      </c>
      <c r="C247" s="65" t="s">
        <v>29</v>
      </c>
      <c r="D247" s="72" t="s">
        <v>148</v>
      </c>
      <c r="E247" s="249" t="s">
        <v>145</v>
      </c>
      <c r="F247" s="68">
        <f>J247*'Calc Quant AMPLIAÇÃO'!AC22</f>
        <v>1.9861333333333331</v>
      </c>
      <c r="G247" s="66">
        <v>14.03</v>
      </c>
      <c r="H247" s="73">
        <f t="shared" si="12"/>
        <v>27.865450666666661</v>
      </c>
      <c r="J247" s="62">
        <f>0.98/0.9</f>
        <v>1.0888888888888888</v>
      </c>
    </row>
    <row r="248" spans="1:10" ht="30">
      <c r="A248" s="113">
        <v>7</v>
      </c>
      <c r="B248" s="67">
        <v>86911</v>
      </c>
      <c r="C248" s="65" t="s">
        <v>29</v>
      </c>
      <c r="D248" s="247" t="s">
        <v>392</v>
      </c>
      <c r="E248" s="249" t="s">
        <v>389</v>
      </c>
      <c r="F248" s="68">
        <v>1</v>
      </c>
      <c r="G248" s="66">
        <v>35.880000000000003</v>
      </c>
      <c r="H248" s="73">
        <f t="shared" si="12"/>
        <v>35.880000000000003</v>
      </c>
    </row>
    <row r="249" spans="1:10" ht="45.75" thickBot="1">
      <c r="A249" s="113">
        <v>8</v>
      </c>
      <c r="B249" s="67">
        <v>86935</v>
      </c>
      <c r="C249" s="65" t="s">
        <v>29</v>
      </c>
      <c r="D249" s="247" t="s">
        <v>318</v>
      </c>
      <c r="E249" s="249" t="s">
        <v>389</v>
      </c>
      <c r="F249" s="68">
        <v>1</v>
      </c>
      <c r="G249" s="66">
        <v>183.37</v>
      </c>
      <c r="H249" s="73">
        <f t="shared" si="12"/>
        <v>183.37</v>
      </c>
    </row>
    <row r="250" spans="1:10" ht="18" thickBot="1">
      <c r="A250" s="400" t="s">
        <v>146</v>
      </c>
      <c r="B250" s="401"/>
      <c r="C250" s="401"/>
      <c r="D250" s="401"/>
      <c r="E250" s="401"/>
      <c r="F250" s="401"/>
      <c r="G250" s="402"/>
      <c r="H250" s="74">
        <f>SUM(H242:H249)</f>
        <v>913.74582442666656</v>
      </c>
    </row>
    <row r="251" spans="1:10" ht="18" thickBot="1">
      <c r="A251" s="241"/>
      <c r="B251" s="241"/>
      <c r="C251" s="241"/>
      <c r="D251" s="241"/>
      <c r="E251" s="241"/>
      <c r="F251" s="241"/>
      <c r="G251" s="241"/>
      <c r="H251" s="242"/>
    </row>
    <row r="252" spans="1:10" ht="15.75" thickBot="1">
      <c r="A252" s="406" t="s">
        <v>802</v>
      </c>
      <c r="B252" s="407"/>
      <c r="C252" s="407"/>
      <c r="D252" s="407"/>
      <c r="E252" s="407"/>
      <c r="F252" s="407"/>
      <c r="G252" s="407"/>
      <c r="H252" s="408"/>
    </row>
    <row r="253" spans="1:10" ht="33" customHeight="1">
      <c r="A253" s="403" t="s">
        <v>570</v>
      </c>
      <c r="B253" s="404"/>
      <c r="C253" s="404"/>
      <c r="D253" s="404"/>
      <c r="E253" s="404"/>
      <c r="F253" s="404"/>
      <c r="G253" s="404"/>
      <c r="H253" s="405"/>
    </row>
    <row r="254" spans="1:10">
      <c r="A254" s="69" t="s">
        <v>10</v>
      </c>
      <c r="B254" s="63" t="s">
        <v>24</v>
      </c>
      <c r="C254" s="63" t="s">
        <v>28</v>
      </c>
      <c r="D254" s="63" t="s">
        <v>140</v>
      </c>
      <c r="E254" s="63" t="s">
        <v>141</v>
      </c>
      <c r="F254" s="63" t="s">
        <v>142</v>
      </c>
      <c r="G254" s="63" t="s">
        <v>143</v>
      </c>
      <c r="H254" s="70" t="s">
        <v>144</v>
      </c>
    </row>
    <row r="255" spans="1:10" ht="45">
      <c r="A255" s="113">
        <v>1</v>
      </c>
      <c r="B255" s="67">
        <v>11795</v>
      </c>
      <c r="C255" s="65" t="s">
        <v>29</v>
      </c>
      <c r="D255" s="247" t="s">
        <v>386</v>
      </c>
      <c r="E255" s="249" t="s">
        <v>387</v>
      </c>
      <c r="F255" s="68">
        <f>J255*'Calc Quant AMPLIAÇÃO'!AC17</f>
        <v>1.0719999999999998</v>
      </c>
      <c r="G255" s="66">
        <v>279.24</v>
      </c>
      <c r="H255" s="73">
        <f t="shared" ref="H255:H266" si="13">F255*G255</f>
        <v>299.34527999999995</v>
      </c>
      <c r="J255" s="62">
        <f>1.005/0.9</f>
        <v>1.1166666666666665</v>
      </c>
    </row>
    <row r="256" spans="1:10" ht="15.75">
      <c r="A256" s="113">
        <v>2</v>
      </c>
      <c r="B256" s="67">
        <v>4823</v>
      </c>
      <c r="C256" s="65" t="s">
        <v>29</v>
      </c>
      <c r="D256" s="72" t="s">
        <v>384</v>
      </c>
      <c r="E256" s="249" t="s">
        <v>385</v>
      </c>
      <c r="F256" s="68">
        <f>J256*'Calc Quant AMPLIAÇÃO'!AC17</f>
        <v>0.55765333333333333</v>
      </c>
      <c r="G256" s="66">
        <v>28.62</v>
      </c>
      <c r="H256" s="73">
        <f t="shared" si="13"/>
        <v>15.9600384</v>
      </c>
      <c r="J256" s="62">
        <f>0.5228/0.9</f>
        <v>0.5808888888888889</v>
      </c>
    </row>
    <row r="257" spans="1:10" ht="30">
      <c r="A257" s="113">
        <v>3</v>
      </c>
      <c r="B257" s="67">
        <v>7568</v>
      </c>
      <c r="C257" s="65" t="s">
        <v>29</v>
      </c>
      <c r="D257" s="247" t="s">
        <v>388</v>
      </c>
      <c r="E257" s="249" t="s">
        <v>389</v>
      </c>
      <c r="F257" s="68">
        <f>J257*4</f>
        <v>16</v>
      </c>
      <c r="G257" s="66">
        <v>0.61</v>
      </c>
      <c r="H257" s="73">
        <f t="shared" si="13"/>
        <v>9.76</v>
      </c>
      <c r="J257" s="62">
        <f>6/1.5</f>
        <v>4</v>
      </c>
    </row>
    <row r="258" spans="1:10" ht="15.75">
      <c r="A258" s="113">
        <v>4</v>
      </c>
      <c r="B258" s="67">
        <v>37329</v>
      </c>
      <c r="C258" s="65" t="s">
        <v>29</v>
      </c>
      <c r="D258" s="72" t="s">
        <v>390</v>
      </c>
      <c r="E258" s="249" t="s">
        <v>385</v>
      </c>
      <c r="F258" s="68">
        <f>J258*'Calc Quant AMPLIAÇÃO'!AC17</f>
        <v>3.7440000000000001E-2</v>
      </c>
      <c r="G258" s="66">
        <v>44.3</v>
      </c>
      <c r="H258" s="73">
        <f t="shared" si="13"/>
        <v>1.6585919999999998</v>
      </c>
      <c r="J258" s="62">
        <f>0.0351/0.9</f>
        <v>3.9E-2</v>
      </c>
    </row>
    <row r="259" spans="1:10" ht="15.75">
      <c r="A259" s="113">
        <v>5</v>
      </c>
      <c r="B259" s="67">
        <v>88274</v>
      </c>
      <c r="C259" s="65" t="s">
        <v>29</v>
      </c>
      <c r="D259" s="248" t="s">
        <v>391</v>
      </c>
      <c r="E259" s="249" t="s">
        <v>145</v>
      </c>
      <c r="F259" s="68">
        <f>J259*'Calc Quant AMPLIAÇÃO'!AC17</f>
        <v>1.5893333333333333</v>
      </c>
      <c r="G259" s="66">
        <v>19.71</v>
      </c>
      <c r="H259" s="73">
        <f t="shared" si="13"/>
        <v>31.325759999999999</v>
      </c>
      <c r="J259" s="62">
        <f>1.49/0.9</f>
        <v>1.6555555555555554</v>
      </c>
    </row>
    <row r="260" spans="1:10" ht="15.75">
      <c r="A260" s="113">
        <v>6</v>
      </c>
      <c r="B260" s="67">
        <v>88316</v>
      </c>
      <c r="C260" s="65" t="s">
        <v>29</v>
      </c>
      <c r="D260" s="72" t="s">
        <v>148</v>
      </c>
      <c r="E260" s="249" t="s">
        <v>145</v>
      </c>
      <c r="F260" s="68">
        <f>J260*'Calc Quant AMPLIAÇÃO'!AC17</f>
        <v>1.0453333333333332</v>
      </c>
      <c r="G260" s="66">
        <v>14.03</v>
      </c>
      <c r="H260" s="73">
        <f t="shared" si="13"/>
        <v>14.666026666666664</v>
      </c>
      <c r="J260" s="62">
        <f>0.98/0.9</f>
        <v>1.0888888888888888</v>
      </c>
    </row>
    <row r="261" spans="1:10" ht="30">
      <c r="A261" s="113">
        <v>1</v>
      </c>
      <c r="B261" s="67">
        <v>11688</v>
      </c>
      <c r="C261" s="65" t="s">
        <v>29</v>
      </c>
      <c r="D261" s="250" t="s">
        <v>501</v>
      </c>
      <c r="E261" s="249" t="s">
        <v>389</v>
      </c>
      <c r="F261" s="68">
        <v>1</v>
      </c>
      <c r="G261" s="66">
        <v>326.25</v>
      </c>
      <c r="H261" s="73">
        <f t="shared" si="13"/>
        <v>326.25</v>
      </c>
    </row>
    <row r="262" spans="1:10" ht="15.75">
      <c r="A262" s="113">
        <v>3</v>
      </c>
      <c r="B262" s="67">
        <v>20262</v>
      </c>
      <c r="C262" s="65" t="s">
        <v>29</v>
      </c>
      <c r="D262" s="248" t="s">
        <v>503</v>
      </c>
      <c r="E262" s="249"/>
      <c r="F262" s="68">
        <v>1</v>
      </c>
      <c r="G262" s="66">
        <v>8.82</v>
      </c>
      <c r="H262" s="73">
        <f t="shared" si="13"/>
        <v>8.82</v>
      </c>
    </row>
    <row r="263" spans="1:10" ht="15.75">
      <c r="A263" s="113">
        <v>5</v>
      </c>
      <c r="B263" s="67">
        <v>37588</v>
      </c>
      <c r="C263" s="65" t="s">
        <v>29</v>
      </c>
      <c r="D263" s="248" t="s">
        <v>505</v>
      </c>
      <c r="E263" s="249"/>
      <c r="F263" s="68">
        <v>1</v>
      </c>
      <c r="G263" s="66">
        <v>17.850000000000001</v>
      </c>
      <c r="H263" s="73">
        <f t="shared" si="13"/>
        <v>17.850000000000001</v>
      </c>
    </row>
    <row r="264" spans="1:10" ht="15.75">
      <c r="A264" s="113">
        <v>6</v>
      </c>
      <c r="B264" s="67">
        <v>13984</v>
      </c>
      <c r="C264" s="65" t="s">
        <v>29</v>
      </c>
      <c r="D264" s="248" t="s">
        <v>506</v>
      </c>
      <c r="E264" s="249" t="s">
        <v>389</v>
      </c>
      <c r="F264" s="68">
        <v>1</v>
      </c>
      <c r="G264" s="66">
        <v>32.79</v>
      </c>
      <c r="H264" s="73">
        <f t="shared" si="13"/>
        <v>32.79</v>
      </c>
    </row>
    <row r="265" spans="1:10" ht="30">
      <c r="A265" s="113">
        <v>7</v>
      </c>
      <c r="B265" s="67">
        <v>88267</v>
      </c>
      <c r="C265" s="65" t="s">
        <v>29</v>
      </c>
      <c r="D265" s="248" t="s">
        <v>440</v>
      </c>
      <c r="E265" s="249" t="s">
        <v>145</v>
      </c>
      <c r="F265" s="68">
        <v>3</v>
      </c>
      <c r="G265" s="66">
        <v>21.25</v>
      </c>
      <c r="H265" s="73">
        <f t="shared" si="13"/>
        <v>63.75</v>
      </c>
    </row>
    <row r="266" spans="1:10" ht="16.5" thickBot="1">
      <c r="A266" s="113">
        <v>8</v>
      </c>
      <c r="B266" s="67">
        <v>88316</v>
      </c>
      <c r="C266" s="65" t="s">
        <v>29</v>
      </c>
      <c r="D266" s="72" t="s">
        <v>148</v>
      </c>
      <c r="E266" s="249" t="s">
        <v>145</v>
      </c>
      <c r="F266" s="68">
        <v>0.5</v>
      </c>
      <c r="G266" s="66">
        <v>14.03</v>
      </c>
      <c r="H266" s="73">
        <f t="shared" si="13"/>
        <v>7.0149999999999997</v>
      </c>
    </row>
    <row r="267" spans="1:10" ht="18" thickBot="1">
      <c r="A267" s="400" t="s">
        <v>146</v>
      </c>
      <c r="B267" s="401"/>
      <c r="C267" s="401"/>
      <c r="D267" s="401"/>
      <c r="E267" s="401"/>
      <c r="F267" s="401"/>
      <c r="G267" s="402"/>
      <c r="H267" s="74">
        <f>SUM(H255:H266)</f>
        <v>829.19069706666653</v>
      </c>
    </row>
    <row r="268" spans="1:10" ht="18" thickBot="1">
      <c r="A268" s="241"/>
      <c r="B268" s="241"/>
      <c r="C268" s="241"/>
      <c r="D268" s="241"/>
      <c r="E268" s="241"/>
      <c r="F268" s="241"/>
      <c r="G268" s="241"/>
      <c r="H268" s="242"/>
    </row>
    <row r="269" spans="1:10" ht="15.75" thickBot="1">
      <c r="A269" s="406" t="s">
        <v>803</v>
      </c>
      <c r="B269" s="407"/>
      <c r="C269" s="407"/>
      <c r="D269" s="407"/>
      <c r="E269" s="407"/>
      <c r="F269" s="407"/>
      <c r="G269" s="407"/>
      <c r="H269" s="408"/>
    </row>
    <row r="270" spans="1:10" ht="30" customHeight="1">
      <c r="A270" s="403" t="s">
        <v>571</v>
      </c>
      <c r="B270" s="404"/>
      <c r="C270" s="404"/>
      <c r="D270" s="404"/>
      <c r="E270" s="404"/>
      <c r="F270" s="404"/>
      <c r="G270" s="404"/>
      <c r="H270" s="405"/>
    </row>
    <row r="271" spans="1:10">
      <c r="A271" s="69" t="s">
        <v>10</v>
      </c>
      <c r="B271" s="63" t="s">
        <v>24</v>
      </c>
      <c r="C271" s="63" t="s">
        <v>28</v>
      </c>
      <c r="D271" s="63" t="s">
        <v>140</v>
      </c>
      <c r="E271" s="63" t="s">
        <v>141</v>
      </c>
      <c r="F271" s="63" t="s">
        <v>142</v>
      </c>
      <c r="G271" s="63" t="s">
        <v>143</v>
      </c>
      <c r="H271" s="70" t="s">
        <v>144</v>
      </c>
    </row>
    <row r="272" spans="1:10" ht="45">
      <c r="A272" s="113">
        <v>1</v>
      </c>
      <c r="B272" s="67">
        <v>11795</v>
      </c>
      <c r="C272" s="65" t="s">
        <v>29</v>
      </c>
      <c r="D272" s="247" t="s">
        <v>386</v>
      </c>
      <c r="E272" s="249" t="s">
        <v>387</v>
      </c>
      <c r="F272" s="68">
        <f>J272*'Calc Quant AMPLIAÇÃO'!AC14</f>
        <v>0.69679999999999986</v>
      </c>
      <c r="G272" s="66">
        <v>279.24</v>
      </c>
      <c r="H272" s="73">
        <f>F272*G272</f>
        <v>194.57443199999997</v>
      </c>
      <c r="J272" s="62">
        <f>1.005/0.9</f>
        <v>1.1166666666666665</v>
      </c>
    </row>
    <row r="273" spans="1:10" ht="15.75">
      <c r="A273" s="113">
        <v>2</v>
      </c>
      <c r="B273" s="67">
        <v>4823</v>
      </c>
      <c r="C273" s="65" t="s">
        <v>29</v>
      </c>
      <c r="D273" s="72" t="s">
        <v>384</v>
      </c>
      <c r="E273" s="249" t="s">
        <v>385</v>
      </c>
      <c r="F273" s="68">
        <f>J273*'Calc Quant AMPLIAÇÃO'!AC14</f>
        <v>0.36247466666666667</v>
      </c>
      <c r="G273" s="66">
        <v>28.62</v>
      </c>
      <c r="H273" s="73">
        <f t="shared" ref="H273:H279" si="14">F273*G273</f>
        <v>10.37402496</v>
      </c>
      <c r="J273" s="62">
        <f>0.5228/0.9</f>
        <v>0.5808888888888889</v>
      </c>
    </row>
    <row r="274" spans="1:10" ht="30">
      <c r="A274" s="113">
        <v>3</v>
      </c>
      <c r="B274" s="67">
        <v>7568</v>
      </c>
      <c r="C274" s="65" t="s">
        <v>29</v>
      </c>
      <c r="D274" s="247" t="s">
        <v>388</v>
      </c>
      <c r="E274" s="249" t="s">
        <v>389</v>
      </c>
      <c r="F274" s="68">
        <v>8</v>
      </c>
      <c r="G274" s="66">
        <v>0.61</v>
      </c>
      <c r="H274" s="73">
        <f t="shared" si="14"/>
        <v>4.88</v>
      </c>
      <c r="J274" s="62">
        <f>6/1.5</f>
        <v>4</v>
      </c>
    </row>
    <row r="275" spans="1:10" ht="15.75">
      <c r="A275" s="113">
        <v>4</v>
      </c>
      <c r="B275" s="67">
        <v>37329</v>
      </c>
      <c r="C275" s="65" t="s">
        <v>29</v>
      </c>
      <c r="D275" s="72" t="s">
        <v>390</v>
      </c>
      <c r="E275" s="249" t="s">
        <v>385</v>
      </c>
      <c r="F275" s="68">
        <f>J275*'Calc Quant AMPLIAÇÃO'!AC14</f>
        <v>2.4336E-2</v>
      </c>
      <c r="G275" s="66">
        <v>44.3</v>
      </c>
      <c r="H275" s="73">
        <f t="shared" si="14"/>
        <v>1.0780847999999998</v>
      </c>
      <c r="J275" s="62">
        <f>0.0351/0.9</f>
        <v>3.9E-2</v>
      </c>
    </row>
    <row r="276" spans="1:10" ht="15.75">
      <c r="A276" s="113">
        <v>5</v>
      </c>
      <c r="B276" s="67">
        <v>88274</v>
      </c>
      <c r="C276" s="65" t="s">
        <v>29</v>
      </c>
      <c r="D276" s="248" t="s">
        <v>391</v>
      </c>
      <c r="E276" s="249" t="s">
        <v>145</v>
      </c>
      <c r="F276" s="68">
        <f>J276*'Calc Quant AMPLIAÇÃO'!AC14</f>
        <v>1.0330666666666666</v>
      </c>
      <c r="G276" s="66">
        <v>19.71</v>
      </c>
      <c r="H276" s="73">
        <f t="shared" si="14"/>
        <v>20.361743999999998</v>
      </c>
      <c r="J276" s="62">
        <f>1.49/0.9</f>
        <v>1.6555555555555554</v>
      </c>
    </row>
    <row r="277" spans="1:10" ht="15.75">
      <c r="A277" s="113">
        <v>6</v>
      </c>
      <c r="B277" s="67">
        <v>88316</v>
      </c>
      <c r="C277" s="65" t="s">
        <v>29</v>
      </c>
      <c r="D277" s="72" t="s">
        <v>148</v>
      </c>
      <c r="E277" s="249" t="s">
        <v>145</v>
      </c>
      <c r="F277" s="68">
        <f>J277*'Calc Quant AMPLIAÇÃO'!AC14</f>
        <v>0.67946666666666655</v>
      </c>
      <c r="G277" s="66">
        <v>14.03</v>
      </c>
      <c r="H277" s="73">
        <f t="shared" si="14"/>
        <v>9.5329173333333319</v>
      </c>
      <c r="J277" s="62">
        <f>0.98/0.9</f>
        <v>1.0888888888888888</v>
      </c>
    </row>
    <row r="278" spans="1:10" ht="30">
      <c r="A278" s="113">
        <v>7</v>
      </c>
      <c r="B278" s="67">
        <v>86911</v>
      </c>
      <c r="C278" s="65" t="s">
        <v>29</v>
      </c>
      <c r="D278" s="247" t="s">
        <v>392</v>
      </c>
      <c r="E278" s="249" t="s">
        <v>389</v>
      </c>
      <c r="F278" s="68">
        <v>1</v>
      </c>
      <c r="G278" s="66">
        <v>35.880000000000003</v>
      </c>
      <c r="H278" s="73">
        <f t="shared" si="14"/>
        <v>35.880000000000003</v>
      </c>
    </row>
    <row r="279" spans="1:10" ht="45.75" thickBot="1">
      <c r="A279" s="113">
        <v>8</v>
      </c>
      <c r="B279" s="67">
        <v>86935</v>
      </c>
      <c r="C279" s="65" t="s">
        <v>29</v>
      </c>
      <c r="D279" s="247" t="s">
        <v>318</v>
      </c>
      <c r="E279" s="249" t="s">
        <v>389</v>
      </c>
      <c r="F279" s="68">
        <v>1</v>
      </c>
      <c r="G279" s="66">
        <v>183.37</v>
      </c>
      <c r="H279" s="73">
        <f t="shared" si="14"/>
        <v>183.37</v>
      </c>
    </row>
    <row r="280" spans="1:10" ht="18" thickBot="1">
      <c r="A280" s="400" t="s">
        <v>146</v>
      </c>
      <c r="B280" s="401"/>
      <c r="C280" s="401"/>
      <c r="D280" s="401"/>
      <c r="E280" s="401"/>
      <c r="F280" s="401"/>
      <c r="G280" s="402"/>
      <c r="H280" s="74">
        <f>SUM(H272:H279)</f>
        <v>460.0512030933333</v>
      </c>
    </row>
    <row r="281" spans="1:10" ht="18" thickBot="1">
      <c r="A281" s="241"/>
      <c r="B281" s="241"/>
      <c r="C281" s="241"/>
      <c r="D281" s="241"/>
      <c r="E281" s="241"/>
      <c r="F281" s="241"/>
      <c r="G281" s="241"/>
      <c r="H281" s="242"/>
    </row>
    <row r="282" spans="1:10" ht="15.75" thickBot="1">
      <c r="A282" s="406" t="s">
        <v>804</v>
      </c>
      <c r="B282" s="407"/>
      <c r="C282" s="407"/>
      <c r="D282" s="407"/>
      <c r="E282" s="407"/>
      <c r="F282" s="407"/>
      <c r="G282" s="407"/>
      <c r="H282" s="408"/>
    </row>
    <row r="283" spans="1:10" ht="15">
      <c r="A283" s="403" t="s">
        <v>572</v>
      </c>
      <c r="B283" s="404"/>
      <c r="C283" s="404"/>
      <c r="D283" s="404"/>
      <c r="E283" s="404"/>
      <c r="F283" s="404"/>
      <c r="G283" s="404"/>
      <c r="H283" s="405"/>
    </row>
    <row r="284" spans="1:10">
      <c r="A284" s="69" t="s">
        <v>10</v>
      </c>
      <c r="B284" s="63" t="s">
        <v>24</v>
      </c>
      <c r="C284" s="63" t="s">
        <v>28</v>
      </c>
      <c r="D284" s="63" t="s">
        <v>140</v>
      </c>
      <c r="E284" s="63" t="s">
        <v>141</v>
      </c>
      <c r="F284" s="63" t="s">
        <v>142</v>
      </c>
      <c r="G284" s="63" t="s">
        <v>143</v>
      </c>
      <c r="H284" s="70" t="s">
        <v>144</v>
      </c>
    </row>
    <row r="285" spans="1:10" ht="45">
      <c r="A285" s="113">
        <v>1</v>
      </c>
      <c r="B285" s="67">
        <v>11795</v>
      </c>
      <c r="C285" s="65" t="s">
        <v>29</v>
      </c>
      <c r="D285" s="247" t="s">
        <v>386</v>
      </c>
      <c r="E285" s="249" t="s">
        <v>387</v>
      </c>
      <c r="F285" s="68">
        <f>J285</f>
        <v>1.1166666666666665</v>
      </c>
      <c r="G285" s="66">
        <v>279.24</v>
      </c>
      <c r="H285" s="73">
        <f t="shared" ref="H285:H290" si="15">F285*G285</f>
        <v>311.81799999999998</v>
      </c>
      <c r="J285" s="62">
        <f>1.005/0.9</f>
        <v>1.1166666666666665</v>
      </c>
    </row>
    <row r="286" spans="1:10" ht="15.75">
      <c r="A286" s="113">
        <v>2</v>
      </c>
      <c r="B286" s="67">
        <v>4823</v>
      </c>
      <c r="C286" s="65" t="s">
        <v>29</v>
      </c>
      <c r="D286" s="72" t="s">
        <v>384</v>
      </c>
      <c r="E286" s="249" t="s">
        <v>385</v>
      </c>
      <c r="F286" s="68">
        <f>J286</f>
        <v>0.5808888888888889</v>
      </c>
      <c r="G286" s="66">
        <v>28.62</v>
      </c>
      <c r="H286" s="73">
        <f t="shared" si="15"/>
        <v>16.625040000000002</v>
      </c>
      <c r="J286" s="62">
        <f>0.5228/0.9</f>
        <v>0.5808888888888889</v>
      </c>
    </row>
    <row r="287" spans="1:10" ht="30">
      <c r="A287" s="113">
        <v>3</v>
      </c>
      <c r="B287" s="67">
        <v>7568</v>
      </c>
      <c r="C287" s="65" t="s">
        <v>29</v>
      </c>
      <c r="D287" s="247" t="s">
        <v>388</v>
      </c>
      <c r="E287" s="249" t="s">
        <v>389</v>
      </c>
      <c r="F287" s="68">
        <v>8</v>
      </c>
      <c r="G287" s="66">
        <v>0.61</v>
      </c>
      <c r="H287" s="73">
        <f t="shared" si="15"/>
        <v>4.88</v>
      </c>
      <c r="J287" s="62">
        <f>6/1.5</f>
        <v>4</v>
      </c>
    </row>
    <row r="288" spans="1:10" ht="15.75">
      <c r="A288" s="113">
        <v>4</v>
      </c>
      <c r="B288" s="67">
        <v>37329</v>
      </c>
      <c r="C288" s="65" t="s">
        <v>29</v>
      </c>
      <c r="D288" s="72" t="s">
        <v>390</v>
      </c>
      <c r="E288" s="249" t="s">
        <v>385</v>
      </c>
      <c r="F288" s="68">
        <f>J288</f>
        <v>3.9E-2</v>
      </c>
      <c r="G288" s="66">
        <v>44.3</v>
      </c>
      <c r="H288" s="73">
        <f t="shared" si="15"/>
        <v>1.7276999999999998</v>
      </c>
      <c r="J288" s="62">
        <f>0.0351/0.9</f>
        <v>3.9E-2</v>
      </c>
    </row>
    <row r="289" spans="1:10" ht="15.75">
      <c r="A289" s="113">
        <v>5</v>
      </c>
      <c r="B289" s="67">
        <v>88274</v>
      </c>
      <c r="C289" s="65" t="s">
        <v>29</v>
      </c>
      <c r="D289" s="248" t="s">
        <v>391</v>
      </c>
      <c r="E289" s="249" t="s">
        <v>145</v>
      </c>
      <c r="F289" s="68">
        <f>J289</f>
        <v>1.6555555555555554</v>
      </c>
      <c r="G289" s="66">
        <v>19.71</v>
      </c>
      <c r="H289" s="73">
        <f t="shared" si="15"/>
        <v>32.631</v>
      </c>
      <c r="J289" s="62">
        <f>1.49/0.9</f>
        <v>1.6555555555555554</v>
      </c>
    </row>
    <row r="290" spans="1:10" ht="16.5" thickBot="1">
      <c r="A290" s="113">
        <v>6</v>
      </c>
      <c r="B290" s="67">
        <v>88316</v>
      </c>
      <c r="C290" s="65" t="s">
        <v>29</v>
      </c>
      <c r="D290" s="72" t="s">
        <v>148</v>
      </c>
      <c r="E290" s="249" t="s">
        <v>145</v>
      </c>
      <c r="F290" s="68">
        <f>J290</f>
        <v>1.0888888888888888</v>
      </c>
      <c r="G290" s="66">
        <v>14.03</v>
      </c>
      <c r="H290" s="73">
        <f t="shared" si="15"/>
        <v>15.277111111111109</v>
      </c>
      <c r="J290" s="62">
        <f>0.98/0.9</f>
        <v>1.0888888888888888</v>
      </c>
    </row>
    <row r="291" spans="1:10" ht="18" thickBot="1">
      <c r="A291" s="400" t="s">
        <v>146</v>
      </c>
      <c r="B291" s="401"/>
      <c r="C291" s="401"/>
      <c r="D291" s="401"/>
      <c r="E291" s="401"/>
      <c r="F291" s="401"/>
      <c r="G291" s="402"/>
      <c r="H291" s="74">
        <f>SUM(H285:H290)</f>
        <v>382.95885111111107</v>
      </c>
    </row>
    <row r="292" spans="1:10" ht="18" thickBot="1">
      <c r="A292" s="241"/>
      <c r="B292" s="241"/>
      <c r="C292" s="241"/>
      <c r="D292" s="241"/>
      <c r="E292" s="241"/>
      <c r="F292" s="241"/>
      <c r="G292" s="241"/>
      <c r="H292" s="242"/>
    </row>
    <row r="293" spans="1:10" ht="15.75" customHeight="1" thickBot="1">
      <c r="A293" s="406" t="s">
        <v>805</v>
      </c>
      <c r="B293" s="407"/>
      <c r="C293" s="407"/>
      <c r="D293" s="407"/>
      <c r="E293" s="407"/>
      <c r="F293" s="407"/>
      <c r="G293" s="407"/>
      <c r="H293" s="408"/>
    </row>
    <row r="294" spans="1:10" ht="15" customHeight="1">
      <c r="A294" s="403" t="s">
        <v>573</v>
      </c>
      <c r="B294" s="404"/>
      <c r="C294" s="404"/>
      <c r="D294" s="404"/>
      <c r="E294" s="404"/>
      <c r="F294" s="404"/>
      <c r="G294" s="404"/>
      <c r="H294" s="405"/>
    </row>
    <row r="295" spans="1:10">
      <c r="A295" s="69" t="s">
        <v>10</v>
      </c>
      <c r="B295" s="63" t="s">
        <v>24</v>
      </c>
      <c r="C295" s="63" t="s">
        <v>28</v>
      </c>
      <c r="D295" s="63" t="s">
        <v>140</v>
      </c>
      <c r="E295" s="63" t="s">
        <v>141</v>
      </c>
      <c r="F295" s="63" t="s">
        <v>142</v>
      </c>
      <c r="G295" s="63" t="s">
        <v>143</v>
      </c>
      <c r="H295" s="70" t="s">
        <v>144</v>
      </c>
    </row>
    <row r="296" spans="1:10" ht="45">
      <c r="A296" s="113">
        <v>1</v>
      </c>
      <c r="B296" s="277">
        <v>92602</v>
      </c>
      <c r="C296" s="65" t="s">
        <v>29</v>
      </c>
      <c r="D296" s="275" t="s">
        <v>827</v>
      </c>
      <c r="E296" s="249" t="s">
        <v>62</v>
      </c>
      <c r="F296" s="68">
        <v>0.2</v>
      </c>
      <c r="G296" s="276">
        <v>474.64</v>
      </c>
      <c r="H296" s="73">
        <f>F296*G296</f>
        <v>94.927999999999997</v>
      </c>
    </row>
    <row r="297" spans="1:10" ht="45.75" thickBot="1">
      <c r="A297" s="113">
        <v>2</v>
      </c>
      <c r="B297" s="278">
        <v>92580</v>
      </c>
      <c r="C297" s="65" t="s">
        <v>29</v>
      </c>
      <c r="D297" s="275" t="s">
        <v>828</v>
      </c>
      <c r="E297" s="249" t="s">
        <v>19</v>
      </c>
      <c r="F297" s="68">
        <v>1</v>
      </c>
      <c r="G297" s="276">
        <v>33.67</v>
      </c>
      <c r="H297" s="73">
        <f>F297*G297</f>
        <v>33.67</v>
      </c>
    </row>
    <row r="298" spans="1:10" ht="18" thickBot="1">
      <c r="A298" s="400" t="s">
        <v>146</v>
      </c>
      <c r="B298" s="401"/>
      <c r="C298" s="401"/>
      <c r="D298" s="401"/>
      <c r="E298" s="401"/>
      <c r="F298" s="401"/>
      <c r="G298" s="402"/>
      <c r="H298" s="74">
        <f>SUM(H296:H297)</f>
        <v>128.59800000000001</v>
      </c>
    </row>
    <row r="299" spans="1:10" ht="18" thickBot="1">
      <c r="A299" s="241"/>
      <c r="B299" s="241"/>
      <c r="C299" s="241"/>
      <c r="D299" s="241"/>
      <c r="E299" s="241"/>
      <c r="F299" s="241"/>
      <c r="G299" s="241"/>
      <c r="H299" s="242"/>
    </row>
    <row r="300" spans="1:10" ht="15.75" thickBot="1">
      <c r="A300" s="406" t="s">
        <v>806</v>
      </c>
      <c r="B300" s="407"/>
      <c r="C300" s="407"/>
      <c r="D300" s="407"/>
      <c r="E300" s="407"/>
      <c r="F300" s="407"/>
      <c r="G300" s="407"/>
      <c r="H300" s="408"/>
    </row>
    <row r="301" spans="1:10" ht="15">
      <c r="A301" s="403" t="s">
        <v>564</v>
      </c>
      <c r="B301" s="404"/>
      <c r="C301" s="404"/>
      <c r="D301" s="404"/>
      <c r="E301" s="404"/>
      <c r="F301" s="404"/>
      <c r="G301" s="404"/>
      <c r="H301" s="405"/>
    </row>
    <row r="302" spans="1:10">
      <c r="A302" s="69" t="s">
        <v>10</v>
      </c>
      <c r="B302" s="63" t="s">
        <v>24</v>
      </c>
      <c r="C302" s="63" t="s">
        <v>28</v>
      </c>
      <c r="D302" s="63" t="s">
        <v>140</v>
      </c>
      <c r="E302" s="63" t="s">
        <v>141</v>
      </c>
      <c r="F302" s="63" t="s">
        <v>142</v>
      </c>
      <c r="G302" s="63" t="s">
        <v>143</v>
      </c>
      <c r="H302" s="70" t="s">
        <v>144</v>
      </c>
    </row>
    <row r="303" spans="1:10" ht="16.5" thickBot="1">
      <c r="A303" s="113">
        <v>1</v>
      </c>
      <c r="B303" s="67">
        <v>93184</v>
      </c>
      <c r="C303" s="65" t="s">
        <v>29</v>
      </c>
      <c r="D303" s="250" t="s">
        <v>175</v>
      </c>
      <c r="E303" s="249" t="s">
        <v>16</v>
      </c>
      <c r="F303" s="68">
        <v>6</v>
      </c>
      <c r="G303" s="66">
        <v>19.809999999999999</v>
      </c>
      <c r="H303" s="73">
        <f>F303*G303</f>
        <v>118.85999999999999</v>
      </c>
    </row>
    <row r="304" spans="1:10" ht="18" thickBot="1">
      <c r="A304" s="400" t="s">
        <v>146</v>
      </c>
      <c r="B304" s="401"/>
      <c r="C304" s="401"/>
      <c r="D304" s="401"/>
      <c r="E304" s="401"/>
      <c r="F304" s="401"/>
      <c r="G304" s="402"/>
      <c r="H304" s="74">
        <f>SUM(H303:H303)</f>
        <v>118.85999999999999</v>
      </c>
    </row>
    <row r="305" spans="1:8" ht="18" thickBot="1">
      <c r="A305" s="241"/>
      <c r="B305" s="241"/>
      <c r="C305" s="241"/>
      <c r="D305" s="241"/>
      <c r="E305" s="241"/>
      <c r="F305" s="241"/>
      <c r="G305" s="241"/>
      <c r="H305" s="242"/>
    </row>
    <row r="306" spans="1:8" ht="15.75" thickBot="1">
      <c r="A306" s="406" t="s">
        <v>807</v>
      </c>
      <c r="B306" s="407"/>
      <c r="C306" s="407"/>
      <c r="D306" s="407"/>
      <c r="E306" s="407"/>
      <c r="F306" s="407"/>
      <c r="G306" s="407"/>
      <c r="H306" s="408"/>
    </row>
    <row r="307" spans="1:8" ht="15">
      <c r="A307" s="403" t="s">
        <v>551</v>
      </c>
      <c r="B307" s="404"/>
      <c r="C307" s="404"/>
      <c r="D307" s="404"/>
      <c r="E307" s="404"/>
      <c r="F307" s="404"/>
      <c r="G307" s="404"/>
      <c r="H307" s="405"/>
    </row>
    <row r="308" spans="1:8">
      <c r="A308" s="69" t="s">
        <v>10</v>
      </c>
      <c r="B308" s="63" t="s">
        <v>24</v>
      </c>
      <c r="C308" s="63" t="s">
        <v>28</v>
      </c>
      <c r="D308" s="63" t="s">
        <v>140</v>
      </c>
      <c r="E308" s="63" t="s">
        <v>141</v>
      </c>
      <c r="F308" s="63" t="s">
        <v>142</v>
      </c>
      <c r="G308" s="63" t="s">
        <v>143</v>
      </c>
      <c r="H308" s="70" t="s">
        <v>144</v>
      </c>
    </row>
    <row r="309" spans="1:8" ht="15.75">
      <c r="A309" s="113">
        <v>1</v>
      </c>
      <c r="B309" s="67">
        <v>7292</v>
      </c>
      <c r="C309" s="65" t="s">
        <v>29</v>
      </c>
      <c r="D309" s="250" t="s">
        <v>553</v>
      </c>
      <c r="E309" s="249" t="s">
        <v>191</v>
      </c>
      <c r="F309" s="68">
        <v>0.33</v>
      </c>
      <c r="G309" s="66">
        <v>19.45</v>
      </c>
      <c r="H309" s="73">
        <f>F309*G309</f>
        <v>6.4184999999999999</v>
      </c>
    </row>
    <row r="310" spans="1:8" ht="15.75">
      <c r="A310" s="113">
        <v>2</v>
      </c>
      <c r="B310" s="67">
        <v>88310</v>
      </c>
      <c r="C310" s="65" t="s">
        <v>29</v>
      </c>
      <c r="D310" s="248" t="s">
        <v>552</v>
      </c>
      <c r="E310" s="249" t="s">
        <v>145</v>
      </c>
      <c r="F310" s="68">
        <v>0.2</v>
      </c>
      <c r="G310" s="66">
        <v>17.68</v>
      </c>
      <c r="H310" s="73">
        <f>F310*G310</f>
        <v>3.536</v>
      </c>
    </row>
    <row r="311" spans="1:8" ht="16.5" thickBot="1">
      <c r="A311" s="113">
        <v>8</v>
      </c>
      <c r="B311" s="67">
        <v>88316</v>
      </c>
      <c r="C311" s="65" t="s">
        <v>29</v>
      </c>
      <c r="D311" s="72" t="s">
        <v>148</v>
      </c>
      <c r="E311" s="249" t="s">
        <v>145</v>
      </c>
      <c r="F311" s="68">
        <v>0.05</v>
      </c>
      <c r="G311" s="66">
        <v>14.03</v>
      </c>
      <c r="H311" s="73">
        <f>F311*G311</f>
        <v>0.70150000000000001</v>
      </c>
    </row>
    <row r="312" spans="1:8" ht="18" thickBot="1">
      <c r="A312" s="400" t="s">
        <v>146</v>
      </c>
      <c r="B312" s="401"/>
      <c r="C312" s="401"/>
      <c r="D312" s="401"/>
      <c r="E312" s="401"/>
      <c r="F312" s="401"/>
      <c r="G312" s="402"/>
      <c r="H312" s="74">
        <f>SUM(H309:H311)</f>
        <v>10.655999999999999</v>
      </c>
    </row>
    <row r="313" spans="1:8" ht="18" thickBot="1">
      <c r="A313" s="306"/>
      <c r="B313" s="307"/>
      <c r="C313" s="307"/>
      <c r="D313" s="307"/>
      <c r="E313" s="307"/>
      <c r="F313" s="307"/>
      <c r="G313" s="307"/>
      <c r="H313" s="308"/>
    </row>
    <row r="314" spans="1:8" ht="15.75" thickBot="1">
      <c r="A314" s="397" t="s">
        <v>841</v>
      </c>
      <c r="B314" s="398"/>
      <c r="C314" s="398"/>
      <c r="D314" s="398"/>
      <c r="E314" s="398"/>
      <c r="F314" s="398"/>
      <c r="G314" s="398"/>
      <c r="H314" s="399"/>
    </row>
    <row r="315" spans="1:8" ht="15">
      <c r="A315" s="403" t="s">
        <v>575</v>
      </c>
      <c r="B315" s="404"/>
      <c r="C315" s="404"/>
      <c r="D315" s="404"/>
      <c r="E315" s="404"/>
      <c r="F315" s="404"/>
      <c r="G315" s="404"/>
      <c r="H315" s="405"/>
    </row>
    <row r="316" spans="1:8">
      <c r="A316" s="69" t="s">
        <v>10</v>
      </c>
      <c r="B316" s="63" t="s">
        <v>24</v>
      </c>
      <c r="C316" s="63" t="s">
        <v>28</v>
      </c>
      <c r="D316" s="63" t="s">
        <v>140</v>
      </c>
      <c r="E316" s="63" t="s">
        <v>141</v>
      </c>
      <c r="F316" s="63" t="s">
        <v>142</v>
      </c>
      <c r="G316" s="63" t="s">
        <v>143</v>
      </c>
      <c r="H316" s="70" t="s">
        <v>144</v>
      </c>
    </row>
    <row r="317" spans="1:8" ht="30">
      <c r="A317" s="113">
        <v>1</v>
      </c>
      <c r="B317" s="67">
        <v>7292</v>
      </c>
      <c r="C317" s="65" t="s">
        <v>29</v>
      </c>
      <c r="D317" s="305" t="s">
        <v>842</v>
      </c>
      <c r="E317" s="249" t="s">
        <v>845</v>
      </c>
      <c r="F317" s="68">
        <v>0.88290000000000002</v>
      </c>
      <c r="G317" s="66">
        <v>31.85</v>
      </c>
      <c r="H317" s="73">
        <f>F317*G317</f>
        <v>28.120365000000003</v>
      </c>
    </row>
    <row r="318" spans="1:8" ht="30">
      <c r="A318" s="113">
        <v>2</v>
      </c>
      <c r="B318" s="67">
        <v>4922</v>
      </c>
      <c r="C318" s="65" t="s">
        <v>29</v>
      </c>
      <c r="D318" s="305" t="s">
        <v>843</v>
      </c>
      <c r="E318" s="249" t="s">
        <v>19</v>
      </c>
      <c r="F318" s="68">
        <v>1</v>
      </c>
      <c r="G318" s="66">
        <v>342.46</v>
      </c>
      <c r="H318" s="73">
        <f t="shared" ref="H318:H320" si="16">F318*G318</f>
        <v>342.46</v>
      </c>
    </row>
    <row r="319" spans="1:8" ht="30">
      <c r="A319" s="113">
        <v>3</v>
      </c>
      <c r="B319" s="67">
        <v>7568</v>
      </c>
      <c r="C319" s="65" t="s">
        <v>29</v>
      </c>
      <c r="D319" s="305" t="s">
        <v>388</v>
      </c>
      <c r="E319" s="249" t="s">
        <v>141</v>
      </c>
      <c r="F319" s="68">
        <v>4.8166000000000002</v>
      </c>
      <c r="G319" s="66">
        <v>0.61</v>
      </c>
      <c r="H319" s="73">
        <f t="shared" si="16"/>
        <v>2.938126</v>
      </c>
    </row>
    <row r="320" spans="1:8" ht="30">
      <c r="A320" s="113">
        <v>4</v>
      </c>
      <c r="B320" s="67">
        <v>36888</v>
      </c>
      <c r="C320" s="65" t="s">
        <v>29</v>
      </c>
      <c r="D320" s="305" t="s">
        <v>844</v>
      </c>
      <c r="E320" s="249" t="s">
        <v>16</v>
      </c>
      <c r="F320" s="68">
        <v>6.8503999999999996</v>
      </c>
      <c r="G320" s="66">
        <v>4.6900000000000004</v>
      </c>
      <c r="H320" s="73">
        <f t="shared" si="16"/>
        <v>32.128376000000003</v>
      </c>
    </row>
    <row r="321" spans="1:8" ht="15.75">
      <c r="A321" s="113">
        <v>5</v>
      </c>
      <c r="B321" s="67">
        <v>88309</v>
      </c>
      <c r="C321" s="65" t="s">
        <v>29</v>
      </c>
      <c r="D321" s="305" t="s">
        <v>513</v>
      </c>
      <c r="E321" s="249" t="s">
        <v>145</v>
      </c>
      <c r="F321" s="68">
        <v>0.2</v>
      </c>
      <c r="G321" s="66">
        <v>17.72</v>
      </c>
      <c r="H321" s="73">
        <f>F321*G321</f>
        <v>3.544</v>
      </c>
    </row>
    <row r="322" spans="1:8" ht="16.5" thickBot="1">
      <c r="A322" s="113">
        <v>6</v>
      </c>
      <c r="B322" s="67">
        <v>88316</v>
      </c>
      <c r="C322" s="65" t="s">
        <v>29</v>
      </c>
      <c r="D322" s="72" t="s">
        <v>148</v>
      </c>
      <c r="E322" s="249" t="s">
        <v>145</v>
      </c>
      <c r="F322" s="68">
        <v>0.05</v>
      </c>
      <c r="G322" s="66">
        <v>14.03</v>
      </c>
      <c r="H322" s="73">
        <f>F322*G322</f>
        <v>0.70150000000000001</v>
      </c>
    </row>
    <row r="323" spans="1:8" ht="18" thickBot="1">
      <c r="A323" s="400" t="s">
        <v>146</v>
      </c>
      <c r="B323" s="401"/>
      <c r="C323" s="401"/>
      <c r="D323" s="401"/>
      <c r="E323" s="401"/>
      <c r="F323" s="401"/>
      <c r="G323" s="402"/>
      <c r="H323" s="74">
        <f>SUM(H317:H322)</f>
        <v>409.89236699999998</v>
      </c>
    </row>
    <row r="324" spans="1:8" ht="13.5" thickBot="1"/>
    <row r="325" spans="1:8">
      <c r="A325" s="334" t="s">
        <v>203</v>
      </c>
      <c r="B325" s="335"/>
      <c r="C325" s="335"/>
      <c r="D325" s="419"/>
      <c r="E325" s="422" t="s">
        <v>105</v>
      </c>
      <c r="F325" s="326"/>
      <c r="G325" s="326"/>
      <c r="H325" s="327"/>
    </row>
    <row r="326" spans="1:8">
      <c r="A326" s="337"/>
      <c r="B326" s="338"/>
      <c r="C326" s="338"/>
      <c r="D326" s="420"/>
      <c r="E326" s="423"/>
      <c r="F326" s="329"/>
      <c r="G326" s="329"/>
      <c r="H326" s="330"/>
    </row>
    <row r="327" spans="1:8">
      <c r="A327" s="337"/>
      <c r="B327" s="338"/>
      <c r="C327" s="338"/>
      <c r="D327" s="420"/>
      <c r="E327" s="423"/>
      <c r="F327" s="329"/>
      <c r="G327" s="329"/>
      <c r="H327" s="330"/>
    </row>
    <row r="328" spans="1:8">
      <c r="A328" s="337"/>
      <c r="B328" s="338"/>
      <c r="C328" s="338"/>
      <c r="D328" s="420"/>
      <c r="E328" s="423"/>
      <c r="F328" s="329"/>
      <c r="G328" s="329"/>
      <c r="H328" s="330"/>
    </row>
    <row r="329" spans="1:8">
      <c r="A329" s="337"/>
      <c r="B329" s="338"/>
      <c r="C329" s="338"/>
      <c r="D329" s="420"/>
      <c r="E329" s="423"/>
      <c r="F329" s="329"/>
      <c r="G329" s="329"/>
      <c r="H329" s="330"/>
    </row>
    <row r="330" spans="1:8" ht="13.5" thickBot="1">
      <c r="A330" s="340"/>
      <c r="B330" s="341"/>
      <c r="C330" s="341"/>
      <c r="D330" s="421"/>
      <c r="E330" s="424"/>
      <c r="F330" s="332"/>
      <c r="G330" s="332"/>
      <c r="H330" s="333"/>
    </row>
  </sheetData>
  <mergeCells count="93">
    <mergeCell ref="A325:D330"/>
    <mergeCell ref="E325:H330"/>
    <mergeCell ref="A119:H119"/>
    <mergeCell ref="A120:H120"/>
    <mergeCell ref="A129:G129"/>
    <mergeCell ref="A131:H131"/>
    <mergeCell ref="A132:H132"/>
    <mergeCell ref="A141:G141"/>
    <mergeCell ref="A143:H143"/>
    <mergeCell ref="A144:H144"/>
    <mergeCell ref="A151:G151"/>
    <mergeCell ref="A154:H154"/>
    <mergeCell ref="A164:G164"/>
    <mergeCell ref="A181:G181"/>
    <mergeCell ref="A183:H183"/>
    <mergeCell ref="A184:H184"/>
    <mergeCell ref="A1:H1"/>
    <mergeCell ref="A2:H2"/>
    <mergeCell ref="G4:H4"/>
    <mergeCell ref="A37:H37"/>
    <mergeCell ref="A47:G47"/>
    <mergeCell ref="A24:H24"/>
    <mergeCell ref="A25:H25"/>
    <mergeCell ref="A28:G28"/>
    <mergeCell ref="G5:H6"/>
    <mergeCell ref="A36:H36"/>
    <mergeCell ref="A18:H18"/>
    <mergeCell ref="A19:H19"/>
    <mergeCell ref="A22:G22"/>
    <mergeCell ref="A10:H10"/>
    <mergeCell ref="A8:H8"/>
    <mergeCell ref="A4:D4"/>
    <mergeCell ref="A5:D5"/>
    <mergeCell ref="A6:D6"/>
    <mergeCell ref="E4:F4"/>
    <mergeCell ref="E5:F6"/>
    <mergeCell ref="A11:H11"/>
    <mergeCell ref="A16:G16"/>
    <mergeCell ref="A82:G82"/>
    <mergeCell ref="A84:H84"/>
    <mergeCell ref="A85:H85"/>
    <mergeCell ref="A30:H30"/>
    <mergeCell ref="A31:H31"/>
    <mergeCell ref="A34:G34"/>
    <mergeCell ref="A49:H49"/>
    <mergeCell ref="A50:H50"/>
    <mergeCell ref="A60:G60"/>
    <mergeCell ref="A62:H62"/>
    <mergeCell ref="A63:H63"/>
    <mergeCell ref="A74:G74"/>
    <mergeCell ref="A76:H76"/>
    <mergeCell ref="A77:H77"/>
    <mergeCell ref="A102:G102"/>
    <mergeCell ref="A104:H104"/>
    <mergeCell ref="A105:H105"/>
    <mergeCell ref="A117:G117"/>
    <mergeCell ref="A153:H153"/>
    <mergeCell ref="A283:H283"/>
    <mergeCell ref="A291:G291"/>
    <mergeCell ref="A205:G205"/>
    <mergeCell ref="A166:H166"/>
    <mergeCell ref="A167:H167"/>
    <mergeCell ref="A173:G173"/>
    <mergeCell ref="A175:H175"/>
    <mergeCell ref="A176:H176"/>
    <mergeCell ref="A207:H207"/>
    <mergeCell ref="A208:H208"/>
    <mergeCell ref="A218:G218"/>
    <mergeCell ref="A250:G250"/>
    <mergeCell ref="A239:H239"/>
    <mergeCell ref="A240:H240"/>
    <mergeCell ref="A300:H300"/>
    <mergeCell ref="A301:H301"/>
    <mergeCell ref="A304:G304"/>
    <mergeCell ref="A220:H220"/>
    <mergeCell ref="A221:H221"/>
    <mergeCell ref="A237:G237"/>
    <mergeCell ref="A252:H252"/>
    <mergeCell ref="A253:H253"/>
    <mergeCell ref="A293:H293"/>
    <mergeCell ref="A294:H294"/>
    <mergeCell ref="A298:G298"/>
    <mergeCell ref="A267:G267"/>
    <mergeCell ref="A269:H269"/>
    <mergeCell ref="A270:H270"/>
    <mergeCell ref="A280:G280"/>
    <mergeCell ref="A282:H282"/>
    <mergeCell ref="A314:H314"/>
    <mergeCell ref="A323:G323"/>
    <mergeCell ref="A315:H315"/>
    <mergeCell ref="A306:H306"/>
    <mergeCell ref="A307:H307"/>
    <mergeCell ref="A312:G312"/>
  </mergeCells>
  <pageMargins left="0.511811024" right="0.511811024" top="0.78740157499999996" bottom="0.78740157499999996" header="0.31496062000000002" footer="0.31496062000000002"/>
  <pageSetup paperSize="9" scale="63" orientation="portrait" verticalDpi="300" r:id="rId1"/>
  <rowBreaks count="1" manualBreakCount="1">
    <brk id="299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86"/>
  <sheetViews>
    <sheetView view="pageBreakPreview" zoomScaleNormal="90" zoomScaleSheetLayoutView="100" workbookViewId="0">
      <selection activeCell="C7" sqref="C7"/>
    </sheetView>
  </sheetViews>
  <sheetFormatPr defaultRowHeight="12.75"/>
  <cols>
    <col min="1" max="1" width="6.42578125" style="154" customWidth="1"/>
    <col min="2" max="2" width="42.140625" style="178" customWidth="1"/>
    <col min="3" max="3" width="14.7109375" style="154" customWidth="1"/>
    <col min="4" max="9" width="14.7109375" style="4" customWidth="1"/>
    <col min="10" max="10" width="5.7109375" style="153" bestFit="1" customWidth="1"/>
    <col min="11" max="11" width="13" style="153" customWidth="1"/>
    <col min="12" max="16384" width="9.140625" style="153"/>
  </cols>
  <sheetData>
    <row r="1" spans="1:13">
      <c r="A1" s="447" t="s">
        <v>55</v>
      </c>
      <c r="B1" s="447"/>
      <c r="C1" s="447"/>
      <c r="D1" s="447"/>
      <c r="E1" s="447"/>
      <c r="F1" s="447"/>
      <c r="G1" s="447"/>
      <c r="H1" s="447"/>
      <c r="I1" s="447"/>
    </row>
    <row r="2" spans="1:13" ht="18">
      <c r="A2" s="448" t="s">
        <v>178</v>
      </c>
      <c r="B2" s="448"/>
      <c r="C2" s="448"/>
      <c r="D2" s="448"/>
      <c r="E2" s="448"/>
      <c r="F2" s="448"/>
      <c r="G2" s="448"/>
      <c r="H2" s="448"/>
      <c r="I2" s="448"/>
    </row>
    <row r="3" spans="1:13" ht="8.25" customHeight="1" thickBot="1">
      <c r="B3" s="154"/>
      <c r="D3" s="154"/>
      <c r="E3" s="154"/>
      <c r="F3" s="154"/>
      <c r="G3" s="154"/>
      <c r="H3" s="154"/>
      <c r="I3" s="154"/>
    </row>
    <row r="4" spans="1:13" ht="28.5" customHeight="1">
      <c r="A4" s="361" t="s">
        <v>819</v>
      </c>
      <c r="B4" s="362"/>
      <c r="C4" s="362"/>
      <c r="D4" s="362"/>
      <c r="E4" s="363"/>
      <c r="F4" s="456" t="s">
        <v>56</v>
      </c>
      <c r="G4" s="457"/>
      <c r="H4" s="456" t="s">
        <v>848</v>
      </c>
      <c r="I4" s="458"/>
    </row>
    <row r="5" spans="1:13" ht="12.75" customHeight="1">
      <c r="A5" s="463" t="s">
        <v>820</v>
      </c>
      <c r="B5" s="464"/>
      <c r="C5" s="464"/>
      <c r="D5" s="464"/>
      <c r="E5" s="465"/>
      <c r="F5" s="351" t="s">
        <v>14</v>
      </c>
      <c r="G5" s="352"/>
      <c r="H5" s="459">
        <f>[4]BDI!E31</f>
        <v>0.22877342476291962</v>
      </c>
      <c r="I5" s="460"/>
    </row>
    <row r="6" spans="1:13" ht="13.5" thickBot="1">
      <c r="A6" s="466" t="s">
        <v>847</v>
      </c>
      <c r="B6" s="467"/>
      <c r="C6" s="467"/>
      <c r="D6" s="467"/>
      <c r="E6" s="468"/>
      <c r="F6" s="353"/>
      <c r="G6" s="354"/>
      <c r="H6" s="461"/>
      <c r="I6" s="462"/>
    </row>
    <row r="7" spans="1:13" ht="15.75" customHeight="1" thickBot="1">
      <c r="A7" s="155"/>
      <c r="B7" s="155"/>
      <c r="C7" s="155"/>
      <c r="D7" s="11"/>
      <c r="E7" s="11"/>
      <c r="F7" s="11"/>
      <c r="G7" s="11"/>
      <c r="H7" s="11"/>
      <c r="I7" s="156"/>
    </row>
    <row r="8" spans="1:13" ht="15.75" customHeight="1" thickBot="1">
      <c r="A8" s="310" t="s">
        <v>130</v>
      </c>
      <c r="B8" s="311"/>
      <c r="C8" s="311"/>
      <c r="D8" s="311"/>
      <c r="E8" s="311"/>
      <c r="F8" s="311"/>
      <c r="G8" s="311"/>
      <c r="H8" s="311"/>
      <c r="I8" s="364"/>
    </row>
    <row r="9" spans="1:13" ht="12.75" customHeight="1">
      <c r="A9" s="449" t="s">
        <v>10</v>
      </c>
      <c r="B9" s="449" t="s">
        <v>11</v>
      </c>
      <c r="C9" s="450" t="s">
        <v>125</v>
      </c>
      <c r="D9" s="55" t="s">
        <v>120</v>
      </c>
      <c r="E9" s="55" t="s">
        <v>123</v>
      </c>
      <c r="F9" s="55" t="s">
        <v>124</v>
      </c>
      <c r="G9" s="55" t="s">
        <v>825</v>
      </c>
      <c r="H9" s="55" t="s">
        <v>824</v>
      </c>
      <c r="I9" s="55" t="s">
        <v>823</v>
      </c>
    </row>
    <row r="10" spans="1:13" ht="12.75" customHeight="1">
      <c r="A10" s="449"/>
      <c r="B10" s="449"/>
      <c r="C10" s="451"/>
      <c r="D10" s="55" t="s">
        <v>121</v>
      </c>
      <c r="E10" s="55" t="s">
        <v>121</v>
      </c>
      <c r="F10" s="55" t="s">
        <v>121</v>
      </c>
      <c r="G10" s="55" t="s">
        <v>121</v>
      </c>
      <c r="H10" s="55" t="s">
        <v>121</v>
      </c>
      <c r="I10" s="55" t="s">
        <v>121</v>
      </c>
    </row>
    <row r="11" spans="1:13" ht="12.75" customHeight="1">
      <c r="A11" s="449"/>
      <c r="B11" s="449"/>
      <c r="C11" s="452"/>
      <c r="D11" s="157" t="s">
        <v>122</v>
      </c>
      <c r="E11" s="157" t="s">
        <v>122</v>
      </c>
      <c r="F11" s="157" t="s">
        <v>122</v>
      </c>
      <c r="G11" s="157" t="s">
        <v>122</v>
      </c>
      <c r="H11" s="157" t="s">
        <v>122</v>
      </c>
      <c r="I11" s="157" t="s">
        <v>122</v>
      </c>
    </row>
    <row r="12" spans="1:13" ht="6" customHeight="1" thickBot="1">
      <c r="A12" s="158"/>
      <c r="B12" s="159"/>
      <c r="C12" s="160"/>
      <c r="D12" s="161"/>
      <c r="E12" s="161"/>
      <c r="F12" s="161"/>
      <c r="G12" s="161"/>
      <c r="H12" s="161"/>
      <c r="I12" s="162"/>
    </row>
    <row r="13" spans="1:13" ht="15" customHeight="1" thickBot="1">
      <c r="A13" s="453" t="s">
        <v>582</v>
      </c>
      <c r="B13" s="454"/>
      <c r="C13" s="454"/>
      <c r="D13" s="454"/>
      <c r="E13" s="454"/>
      <c r="F13" s="454"/>
      <c r="G13" s="454"/>
      <c r="H13" s="454"/>
      <c r="I13" s="455"/>
      <c r="J13" s="267"/>
      <c r="K13" s="267"/>
      <c r="L13" s="267"/>
      <c r="M13" s="267"/>
    </row>
    <row r="14" spans="1:13" s="164" customFormat="1" ht="12" customHeight="1">
      <c r="A14" s="425" t="s">
        <v>809</v>
      </c>
      <c r="B14" s="427" t="str">
        <f>'ORÇ. REFORMA'!D12</f>
        <v xml:space="preserve">SERVICOS PRELIMINARES                                        </v>
      </c>
      <c r="C14" s="163">
        <f>'ORÇ. REFORMA'!J17</f>
        <v>11821.915580979599</v>
      </c>
      <c r="D14" s="59">
        <f t="shared" ref="D14:I14" si="0">$C$14*D15</f>
        <v>3191.9172068644921</v>
      </c>
      <c r="E14" s="59">
        <f t="shared" si="0"/>
        <v>1655.0681813371441</v>
      </c>
      <c r="F14" s="59">
        <f t="shared" si="0"/>
        <v>1655.0681813371441</v>
      </c>
      <c r="G14" s="59">
        <f t="shared" si="0"/>
        <v>1655.0681813371441</v>
      </c>
      <c r="H14" s="59">
        <f t="shared" si="0"/>
        <v>1655.0681813371441</v>
      </c>
      <c r="I14" s="59">
        <f t="shared" si="0"/>
        <v>2009.725648766532</v>
      </c>
    </row>
    <row r="15" spans="1:13" ht="13.5" customHeight="1" thickBot="1">
      <c r="A15" s="426"/>
      <c r="B15" s="428"/>
      <c r="C15" s="165">
        <f>SUM(D15:I15)</f>
        <v>1</v>
      </c>
      <c r="D15" s="166">
        <v>0.27</v>
      </c>
      <c r="E15" s="166">
        <v>0.14000000000000001</v>
      </c>
      <c r="F15" s="166">
        <v>0.14000000000000001</v>
      </c>
      <c r="G15" s="166">
        <v>0.14000000000000001</v>
      </c>
      <c r="H15" s="166">
        <v>0.14000000000000001</v>
      </c>
      <c r="I15" s="167">
        <v>0.17</v>
      </c>
      <c r="K15" s="168">
        <f>1-C15</f>
        <v>0</v>
      </c>
      <c r="L15" s="169"/>
    </row>
    <row r="16" spans="1:13" ht="13.5" customHeight="1" thickBot="1">
      <c r="A16" s="453" t="s">
        <v>581</v>
      </c>
      <c r="B16" s="454"/>
      <c r="C16" s="454"/>
      <c r="D16" s="454"/>
      <c r="E16" s="454"/>
      <c r="F16" s="454"/>
      <c r="G16" s="454"/>
      <c r="H16" s="454"/>
      <c r="I16" s="455"/>
      <c r="J16" s="446"/>
      <c r="K16" s="446"/>
      <c r="L16" s="446"/>
      <c r="M16" s="446"/>
    </row>
    <row r="17" spans="1:11" ht="12.75" customHeight="1">
      <c r="A17" s="425" t="s">
        <v>34</v>
      </c>
      <c r="B17" s="427" t="str">
        <f>'ORÇ. REFORMA'!D20</f>
        <v xml:space="preserve">DEMOLIÇÕES E RETIRADAS                                      </v>
      </c>
      <c r="C17" s="163">
        <f>'ORÇ. REFORMA'!J31</f>
        <v>2699.9332701385792</v>
      </c>
      <c r="D17" s="59">
        <f t="shared" ref="D17:I17" si="1">$C$17*D18</f>
        <v>2699.9332701385792</v>
      </c>
      <c r="E17" s="59">
        <f t="shared" si="1"/>
        <v>0</v>
      </c>
      <c r="F17" s="59">
        <f t="shared" si="1"/>
        <v>0</v>
      </c>
      <c r="G17" s="59">
        <f t="shared" si="1"/>
        <v>0</v>
      </c>
      <c r="H17" s="59">
        <f t="shared" si="1"/>
        <v>0</v>
      </c>
      <c r="I17" s="59">
        <f t="shared" si="1"/>
        <v>0</v>
      </c>
      <c r="K17" s="168"/>
    </row>
    <row r="18" spans="1:11" ht="13.5" thickBot="1">
      <c r="A18" s="426"/>
      <c r="B18" s="428"/>
      <c r="C18" s="170">
        <f>SUM(D18:I18)</f>
        <v>1</v>
      </c>
      <c r="D18" s="166">
        <v>1</v>
      </c>
      <c r="E18" s="174"/>
      <c r="F18" s="174"/>
      <c r="G18" s="174"/>
      <c r="H18" s="174"/>
      <c r="I18" s="171"/>
      <c r="K18" s="168">
        <f>1-C18</f>
        <v>0</v>
      </c>
    </row>
    <row r="19" spans="1:11" ht="12.75" customHeight="1">
      <c r="A19" s="425" t="s">
        <v>206</v>
      </c>
      <c r="B19" s="427" t="str">
        <f>'ORÇ. REFORMA'!D32</f>
        <v>SERVIÇOS EM TERRA</v>
      </c>
      <c r="C19" s="163">
        <f>'ORÇ. REFORMA'!J35</f>
        <v>309.23324295317883</v>
      </c>
      <c r="D19" s="59">
        <f t="shared" ref="D19:I19" si="2">$C$19*D20</f>
        <v>309.23324295317883</v>
      </c>
      <c r="E19" s="59">
        <f t="shared" si="2"/>
        <v>0</v>
      </c>
      <c r="F19" s="59">
        <f t="shared" si="2"/>
        <v>0</v>
      </c>
      <c r="G19" s="59">
        <f t="shared" si="2"/>
        <v>0</v>
      </c>
      <c r="H19" s="59">
        <f t="shared" si="2"/>
        <v>0</v>
      </c>
      <c r="I19" s="59">
        <f t="shared" si="2"/>
        <v>0</v>
      </c>
      <c r="K19" s="168"/>
    </row>
    <row r="20" spans="1:11" ht="13.5" thickBot="1">
      <c r="A20" s="426"/>
      <c r="B20" s="428"/>
      <c r="C20" s="170">
        <f>SUM(D20:I20)</f>
        <v>1</v>
      </c>
      <c r="D20" s="166">
        <v>1</v>
      </c>
      <c r="E20" s="172"/>
      <c r="F20" s="172"/>
      <c r="G20" s="172"/>
      <c r="H20" s="172"/>
      <c r="I20" s="171"/>
      <c r="K20" s="168">
        <f>1-C20</f>
        <v>0</v>
      </c>
    </row>
    <row r="21" spans="1:11">
      <c r="A21" s="425" t="s">
        <v>208</v>
      </c>
      <c r="B21" s="427" t="str">
        <f>'ORÇ. REFORMA'!D36</f>
        <v>INFRAESTRUTURA</v>
      </c>
      <c r="C21" s="163">
        <f>'ORÇ. REFORMA'!J40</f>
        <v>1525.8844246733163</v>
      </c>
      <c r="D21" s="59">
        <f t="shared" ref="D21:I21" si="3">$C$21*D22</f>
        <v>0</v>
      </c>
      <c r="E21" s="59">
        <f t="shared" si="3"/>
        <v>1525.8844246733163</v>
      </c>
      <c r="F21" s="59">
        <f t="shared" si="3"/>
        <v>0</v>
      </c>
      <c r="G21" s="59">
        <f t="shared" si="3"/>
        <v>0</v>
      </c>
      <c r="H21" s="59">
        <f t="shared" si="3"/>
        <v>0</v>
      </c>
      <c r="I21" s="59">
        <f t="shared" si="3"/>
        <v>0</v>
      </c>
      <c r="K21" s="168"/>
    </row>
    <row r="22" spans="1:11" ht="13.5" thickBot="1">
      <c r="A22" s="426"/>
      <c r="B22" s="428"/>
      <c r="C22" s="170">
        <f>SUM(D22:I22)</f>
        <v>1</v>
      </c>
      <c r="D22" s="174"/>
      <c r="E22" s="166">
        <v>1</v>
      </c>
      <c r="F22" s="172"/>
      <c r="G22" s="172"/>
      <c r="H22" s="172"/>
      <c r="I22" s="171"/>
      <c r="K22" s="168">
        <f>1-C22</f>
        <v>0</v>
      </c>
    </row>
    <row r="23" spans="1:11">
      <c r="A23" s="425" t="s">
        <v>210</v>
      </c>
      <c r="B23" s="427" t="str">
        <f>'ORÇ. REFORMA'!D41</f>
        <v>SUPRAESTRUTURA</v>
      </c>
      <c r="C23" s="163">
        <f>'ORÇ. REFORMA'!J46</f>
        <v>1929.619402508451</v>
      </c>
      <c r="D23" s="59">
        <f t="shared" ref="D23:I23" si="4">$C$23*D24</f>
        <v>0</v>
      </c>
      <c r="E23" s="59">
        <f t="shared" si="4"/>
        <v>0</v>
      </c>
      <c r="F23" s="59">
        <f t="shared" si="4"/>
        <v>1929.619402508451</v>
      </c>
      <c r="G23" s="59">
        <f t="shared" si="4"/>
        <v>0</v>
      </c>
      <c r="H23" s="59">
        <f t="shared" si="4"/>
        <v>0</v>
      </c>
      <c r="I23" s="59">
        <f t="shared" si="4"/>
        <v>0</v>
      </c>
      <c r="K23" s="168"/>
    </row>
    <row r="24" spans="1:11" ht="13.5" thickBot="1">
      <c r="A24" s="426"/>
      <c r="B24" s="428"/>
      <c r="C24" s="170">
        <f>SUM(D24:I24)</f>
        <v>1</v>
      </c>
      <c r="D24" s="174"/>
      <c r="E24" s="174"/>
      <c r="F24" s="166">
        <v>1</v>
      </c>
      <c r="G24" s="174"/>
      <c r="H24" s="174"/>
      <c r="I24" s="173"/>
      <c r="K24" s="168">
        <f>1-C24</f>
        <v>0</v>
      </c>
    </row>
    <row r="25" spans="1:11">
      <c r="A25" s="425" t="s">
        <v>604</v>
      </c>
      <c r="B25" s="427" t="str">
        <f>'ORÇ. REFORMA'!D47</f>
        <v>PAREDES, PAINÉIS E BANCADAS</v>
      </c>
      <c r="C25" s="163">
        <f>'ORÇ. REFORMA'!J52</f>
        <v>5759.2978515466384</v>
      </c>
      <c r="D25" s="59">
        <f t="shared" ref="D25:I25" si="5">$C$25*D26</f>
        <v>0</v>
      </c>
      <c r="E25" s="59">
        <f t="shared" si="5"/>
        <v>1727.7893554639916</v>
      </c>
      <c r="F25" s="59">
        <f t="shared" si="5"/>
        <v>2015.7542480413233</v>
      </c>
      <c r="G25" s="59">
        <f t="shared" si="5"/>
        <v>0</v>
      </c>
      <c r="H25" s="59">
        <f t="shared" si="5"/>
        <v>1439.8244628866596</v>
      </c>
      <c r="I25" s="59">
        <f t="shared" si="5"/>
        <v>575.92978515466382</v>
      </c>
      <c r="K25" s="168"/>
    </row>
    <row r="26" spans="1:11" ht="13.5" thickBot="1">
      <c r="A26" s="426"/>
      <c r="B26" s="428"/>
      <c r="C26" s="170">
        <f>SUM(D26:I26)</f>
        <v>0.99999999999999989</v>
      </c>
      <c r="D26" s="174"/>
      <c r="E26" s="166">
        <v>0.3</v>
      </c>
      <c r="F26" s="166">
        <v>0.35</v>
      </c>
      <c r="G26" s="174"/>
      <c r="H26" s="166">
        <v>0.25</v>
      </c>
      <c r="I26" s="166">
        <v>0.1</v>
      </c>
      <c r="K26" s="168">
        <f>1-C26</f>
        <v>0</v>
      </c>
    </row>
    <row r="27" spans="1:11">
      <c r="A27" s="425" t="s">
        <v>612</v>
      </c>
      <c r="B27" s="427" t="str">
        <f>'ORÇ. REFORMA'!D53</f>
        <v>COBERTA</v>
      </c>
      <c r="C27" s="163">
        <f>'ORÇ. REFORMA'!J59</f>
        <v>8808.862875549461</v>
      </c>
      <c r="D27" s="59">
        <f t="shared" ref="D27:I27" si="6">$C$27*D28</f>
        <v>0</v>
      </c>
      <c r="E27" s="59">
        <f t="shared" si="6"/>
        <v>0</v>
      </c>
      <c r="F27" s="59">
        <f t="shared" si="6"/>
        <v>1321.3294313324191</v>
      </c>
      <c r="G27" s="59">
        <f t="shared" si="6"/>
        <v>4404.4314377747305</v>
      </c>
      <c r="H27" s="59">
        <f t="shared" si="6"/>
        <v>3083.102006442311</v>
      </c>
      <c r="I27" s="59">
        <f t="shared" si="6"/>
        <v>0</v>
      </c>
      <c r="K27" s="168"/>
    </row>
    <row r="28" spans="1:11" ht="13.5" thickBot="1">
      <c r="A28" s="426"/>
      <c r="B28" s="428"/>
      <c r="C28" s="170">
        <f>SUM(D28:I28)</f>
        <v>1</v>
      </c>
      <c r="D28" s="172"/>
      <c r="E28" s="174"/>
      <c r="F28" s="166">
        <v>0.15</v>
      </c>
      <c r="G28" s="166">
        <v>0.5</v>
      </c>
      <c r="H28" s="166">
        <v>0.35</v>
      </c>
      <c r="I28" s="174"/>
      <c r="K28" s="168">
        <f>1-C28</f>
        <v>0</v>
      </c>
    </row>
    <row r="29" spans="1:11">
      <c r="A29" s="425" t="s">
        <v>618</v>
      </c>
      <c r="B29" s="427" t="str">
        <f>'ORÇ. REFORMA'!D60</f>
        <v xml:space="preserve">ESQUADRIAS </v>
      </c>
      <c r="C29" s="163">
        <f>'ORÇ. REFORMA'!J65</f>
        <v>5659.8626104785126</v>
      </c>
      <c r="D29" s="59">
        <f t="shared" ref="D29:I29" si="7">$C$29*D30</f>
        <v>0</v>
      </c>
      <c r="E29" s="59">
        <f t="shared" si="7"/>
        <v>0</v>
      </c>
      <c r="F29" s="59">
        <f t="shared" si="7"/>
        <v>2829.9313052392563</v>
      </c>
      <c r="G29" s="59">
        <f t="shared" si="7"/>
        <v>0</v>
      </c>
      <c r="H29" s="59">
        <f t="shared" si="7"/>
        <v>2829.9313052392563</v>
      </c>
      <c r="I29" s="59">
        <f t="shared" si="7"/>
        <v>0</v>
      </c>
      <c r="K29" s="168"/>
    </row>
    <row r="30" spans="1:11" ht="13.5" thickBot="1">
      <c r="A30" s="426"/>
      <c r="B30" s="428"/>
      <c r="C30" s="170">
        <f>SUM(D30:I30)</f>
        <v>1</v>
      </c>
      <c r="D30" s="172"/>
      <c r="E30" s="174"/>
      <c r="F30" s="166">
        <v>0.5</v>
      </c>
      <c r="G30" s="174"/>
      <c r="H30" s="166">
        <v>0.5</v>
      </c>
      <c r="I30" s="174"/>
      <c r="K30" s="168">
        <f>1-C30</f>
        <v>0</v>
      </c>
    </row>
    <row r="31" spans="1:11">
      <c r="A31" s="425" t="s">
        <v>623</v>
      </c>
      <c r="B31" s="427" t="str">
        <f>'ORÇ. REFORMA'!D66</f>
        <v>REVESTIMENTOS</v>
      </c>
      <c r="C31" s="163">
        <f>'ORÇ. REFORMA'!J72</f>
        <v>5158.4490318641338</v>
      </c>
      <c r="D31" s="59">
        <f t="shared" ref="D31:I31" si="8">$C$31*D32</f>
        <v>0</v>
      </c>
      <c r="E31" s="59">
        <f t="shared" si="8"/>
        <v>0</v>
      </c>
      <c r="F31" s="59">
        <f t="shared" si="8"/>
        <v>309.506941911848</v>
      </c>
      <c r="G31" s="59">
        <f t="shared" si="8"/>
        <v>3868.8367738981005</v>
      </c>
      <c r="H31" s="59">
        <f t="shared" si="8"/>
        <v>773.76735477962006</v>
      </c>
      <c r="I31" s="59">
        <f t="shared" si="8"/>
        <v>206.33796127456534</v>
      </c>
      <c r="K31" s="168"/>
    </row>
    <row r="32" spans="1:11" ht="13.5" thickBot="1">
      <c r="A32" s="426"/>
      <c r="B32" s="428"/>
      <c r="C32" s="170">
        <f>SUM(D32:I32)</f>
        <v>1</v>
      </c>
      <c r="D32" s="172"/>
      <c r="E32" s="174"/>
      <c r="F32" s="166">
        <v>0.06</v>
      </c>
      <c r="G32" s="166">
        <v>0.75</v>
      </c>
      <c r="H32" s="166">
        <v>0.15</v>
      </c>
      <c r="I32" s="166">
        <v>0.04</v>
      </c>
      <c r="K32" s="168">
        <f>1-C32</f>
        <v>0</v>
      </c>
    </row>
    <row r="33" spans="1:11">
      <c r="A33" s="425" t="s">
        <v>631</v>
      </c>
      <c r="B33" s="427" t="str">
        <f>'ORÇ. REFORMA'!D73</f>
        <v>PAVIMENTAÇÃO</v>
      </c>
      <c r="C33" s="163">
        <f>'ORÇ. REFORMA'!J75</f>
        <v>7065.0815094155778</v>
      </c>
      <c r="D33" s="59">
        <f t="shared" ref="D33:I33" si="9">$C$33*D34</f>
        <v>0</v>
      </c>
      <c r="E33" s="59">
        <f t="shared" si="9"/>
        <v>0</v>
      </c>
      <c r="F33" s="59">
        <f t="shared" si="9"/>
        <v>0</v>
      </c>
      <c r="G33" s="59">
        <f t="shared" si="9"/>
        <v>0</v>
      </c>
      <c r="H33" s="59">
        <f t="shared" si="9"/>
        <v>7065.0815094155778</v>
      </c>
      <c r="I33" s="59">
        <f t="shared" si="9"/>
        <v>0</v>
      </c>
      <c r="K33" s="168"/>
    </row>
    <row r="34" spans="1:11" ht="13.5" thickBot="1">
      <c r="A34" s="426"/>
      <c r="B34" s="428"/>
      <c r="C34" s="170">
        <f>SUM(D34:I34)</f>
        <v>1</v>
      </c>
      <c r="D34" s="174"/>
      <c r="E34" s="174"/>
      <c r="F34" s="174"/>
      <c r="G34" s="174"/>
      <c r="H34" s="166">
        <v>1</v>
      </c>
      <c r="I34" s="174"/>
      <c r="K34" s="168">
        <f>1-C34</f>
        <v>0</v>
      </c>
    </row>
    <row r="35" spans="1:11">
      <c r="A35" s="425" t="s">
        <v>634</v>
      </c>
      <c r="B35" s="427" t="str">
        <f>'ORÇ. REFORMA'!D76</f>
        <v>INSTALAÇÕES HIDRO-SANITÁRIAS</v>
      </c>
      <c r="C35" s="163">
        <f>'ORÇ. REFORMA'!J87</f>
        <v>2967.806933260862</v>
      </c>
      <c r="D35" s="59">
        <f t="shared" ref="D35:I35" si="10">$C$35*D36</f>
        <v>0</v>
      </c>
      <c r="E35" s="59">
        <f t="shared" si="10"/>
        <v>1038.7324266413016</v>
      </c>
      <c r="F35" s="59">
        <f t="shared" si="10"/>
        <v>1483.903466630431</v>
      </c>
      <c r="G35" s="59">
        <f t="shared" si="10"/>
        <v>445.17103998912927</v>
      </c>
      <c r="H35" s="59">
        <f t="shared" si="10"/>
        <v>0</v>
      </c>
      <c r="I35" s="59">
        <f t="shared" si="10"/>
        <v>0</v>
      </c>
      <c r="K35" s="168"/>
    </row>
    <row r="36" spans="1:11" ht="13.5" thickBot="1">
      <c r="A36" s="426"/>
      <c r="B36" s="428"/>
      <c r="C36" s="170">
        <f>SUM(D36:I36)</f>
        <v>1</v>
      </c>
      <c r="D36" s="174"/>
      <c r="E36" s="167">
        <v>0.35</v>
      </c>
      <c r="F36" s="167">
        <v>0.5</v>
      </c>
      <c r="G36" s="167">
        <v>0.15</v>
      </c>
      <c r="H36" s="173"/>
      <c r="I36" s="173"/>
      <c r="K36" s="168">
        <f>1-C36</f>
        <v>0</v>
      </c>
    </row>
    <row r="37" spans="1:11">
      <c r="A37" s="425" t="s">
        <v>821</v>
      </c>
      <c r="B37" s="427" t="str">
        <f>'ORÇ. REFORMA'!D88</f>
        <v>LOUÇAS E METAIS</v>
      </c>
      <c r="C37" s="163">
        <f>'ORÇ. REFORMA'!J94</f>
        <v>1438.7054224785177</v>
      </c>
      <c r="D37" s="59">
        <f t="shared" ref="D37:I37" si="11">$C$37*D38</f>
        <v>0</v>
      </c>
      <c r="E37" s="59">
        <f t="shared" si="11"/>
        <v>0</v>
      </c>
      <c r="F37" s="59">
        <f t="shared" si="11"/>
        <v>0</v>
      </c>
      <c r="G37" s="59">
        <f t="shared" si="11"/>
        <v>0</v>
      </c>
      <c r="H37" s="59">
        <f t="shared" si="11"/>
        <v>891.99736193668093</v>
      </c>
      <c r="I37" s="59">
        <f t="shared" si="11"/>
        <v>546.70806054183674</v>
      </c>
      <c r="K37" s="168"/>
    </row>
    <row r="38" spans="1:11" ht="13.5" thickBot="1">
      <c r="A38" s="426"/>
      <c r="B38" s="428"/>
      <c r="C38" s="170">
        <f>SUM(D38:I38)</f>
        <v>1</v>
      </c>
      <c r="D38" s="173"/>
      <c r="E38" s="173"/>
      <c r="F38" s="173"/>
      <c r="G38" s="173"/>
      <c r="H38" s="167">
        <v>0.62</v>
      </c>
      <c r="I38" s="167">
        <v>0.38</v>
      </c>
      <c r="K38" s="168">
        <f>1-C38</f>
        <v>0</v>
      </c>
    </row>
    <row r="39" spans="1:11">
      <c r="A39" s="425" t="s">
        <v>652</v>
      </c>
      <c r="B39" s="427" t="str">
        <f>'ORÇ. REFORMA'!D95</f>
        <v>INSTALAÇÕES ELÉTRICA</v>
      </c>
      <c r="C39" s="163">
        <f>'ORÇ. REFORMA'!J101</f>
        <v>6154.9383723717119</v>
      </c>
      <c r="D39" s="59">
        <f t="shared" ref="D39:I39" si="12">$C$39*D40</f>
        <v>0</v>
      </c>
      <c r="E39" s="59">
        <f t="shared" si="12"/>
        <v>0</v>
      </c>
      <c r="F39" s="59">
        <f t="shared" si="12"/>
        <v>2461.9753489486848</v>
      </c>
      <c r="G39" s="59">
        <f t="shared" si="12"/>
        <v>2461.9753489486848</v>
      </c>
      <c r="H39" s="59">
        <f t="shared" si="12"/>
        <v>615.49383723717119</v>
      </c>
      <c r="I39" s="59">
        <f t="shared" si="12"/>
        <v>615.49383723717119</v>
      </c>
      <c r="K39" s="168"/>
    </row>
    <row r="40" spans="1:11" ht="13.5" thickBot="1">
      <c r="A40" s="426"/>
      <c r="B40" s="428"/>
      <c r="C40" s="170">
        <f>SUM(D40:I40)</f>
        <v>1</v>
      </c>
      <c r="D40" s="174"/>
      <c r="E40" s="173"/>
      <c r="F40" s="167">
        <v>0.4</v>
      </c>
      <c r="G40" s="167">
        <v>0.4</v>
      </c>
      <c r="H40" s="167">
        <v>0.1</v>
      </c>
      <c r="I40" s="167">
        <v>0.1</v>
      </c>
      <c r="K40" s="168"/>
    </row>
    <row r="41" spans="1:11">
      <c r="A41" s="425" t="s">
        <v>658</v>
      </c>
      <c r="B41" s="427" t="str">
        <f>'ORÇ. REFORMA'!D102</f>
        <v>PINTURA</v>
      </c>
      <c r="C41" s="163">
        <f>'ORÇ. REFORMA'!J109</f>
        <v>7483.7033181313063</v>
      </c>
      <c r="D41" s="59">
        <f t="shared" ref="D41:I41" si="13">$C$41*D42</f>
        <v>0</v>
      </c>
      <c r="E41" s="59">
        <f t="shared" si="13"/>
        <v>0</v>
      </c>
      <c r="F41" s="59">
        <f t="shared" si="13"/>
        <v>0</v>
      </c>
      <c r="G41" s="59">
        <f t="shared" si="13"/>
        <v>0</v>
      </c>
      <c r="H41" s="59">
        <f t="shared" si="13"/>
        <v>2245.1109954393919</v>
      </c>
      <c r="I41" s="59">
        <f t="shared" si="13"/>
        <v>5238.592322691914</v>
      </c>
      <c r="K41" s="168"/>
    </row>
    <row r="42" spans="1:11" ht="13.5" thickBot="1">
      <c r="A42" s="426"/>
      <c r="B42" s="428"/>
      <c r="C42" s="170">
        <f>SUM(D42:I42)</f>
        <v>1</v>
      </c>
      <c r="D42" s="174"/>
      <c r="E42" s="173"/>
      <c r="F42" s="173"/>
      <c r="G42" s="173"/>
      <c r="H42" s="167">
        <v>0.3</v>
      </c>
      <c r="I42" s="167">
        <v>0.7</v>
      </c>
      <c r="K42" s="168">
        <f>1-C42</f>
        <v>0</v>
      </c>
    </row>
    <row r="43" spans="1:11">
      <c r="A43" s="425" t="s">
        <v>667</v>
      </c>
      <c r="B43" s="427" t="str">
        <f>'ORÇ. REFORMA'!D110</f>
        <v>SERVIÇOS COMPLEMENTARES</v>
      </c>
      <c r="C43" s="163">
        <f>'ORÇ. REFORMA'!J113</f>
        <v>235.24252830373717</v>
      </c>
      <c r="D43" s="59">
        <f t="shared" ref="D43:I43" si="14">$C$43*D44</f>
        <v>0</v>
      </c>
      <c r="E43" s="59">
        <f t="shared" si="14"/>
        <v>0</v>
      </c>
      <c r="F43" s="59">
        <f t="shared" si="14"/>
        <v>0</v>
      </c>
      <c r="G43" s="59">
        <f t="shared" si="14"/>
        <v>0</v>
      </c>
      <c r="H43" s="59">
        <f t="shared" si="14"/>
        <v>0</v>
      </c>
      <c r="I43" s="59">
        <f t="shared" si="14"/>
        <v>235.24252830373717</v>
      </c>
      <c r="K43" s="168"/>
    </row>
    <row r="44" spans="1:11" ht="13.5" thickBot="1">
      <c r="A44" s="426"/>
      <c r="B44" s="428"/>
      <c r="C44" s="170">
        <f>SUM(D44:I44)</f>
        <v>1</v>
      </c>
      <c r="D44" s="174"/>
      <c r="E44" s="174"/>
      <c r="F44" s="174"/>
      <c r="G44" s="174"/>
      <c r="H44" s="174"/>
      <c r="I44" s="167">
        <v>1</v>
      </c>
      <c r="K44" s="168">
        <f>1-C44</f>
        <v>0</v>
      </c>
    </row>
    <row r="45" spans="1:11" ht="16.5" thickBot="1">
      <c r="A45" s="453" t="s">
        <v>671</v>
      </c>
      <c r="B45" s="454"/>
      <c r="C45" s="454"/>
      <c r="D45" s="454"/>
      <c r="E45" s="454"/>
      <c r="F45" s="454"/>
      <c r="G45" s="454"/>
      <c r="H45" s="454"/>
      <c r="I45" s="455"/>
      <c r="K45" s="168"/>
    </row>
    <row r="46" spans="1:11">
      <c r="A46" s="425" t="s">
        <v>35</v>
      </c>
      <c r="B46" s="427" t="str">
        <f>'ORÇ. REFORMA'!D120</f>
        <v>SERVIÇOS EM TERRA</v>
      </c>
      <c r="C46" s="163">
        <f>'ORÇ. REFORMA'!J124</f>
        <v>8252.9607402156762</v>
      </c>
      <c r="D46" s="59">
        <f t="shared" ref="D46:I46" si="15">$C$46*D47</f>
        <v>8252.9607402156762</v>
      </c>
      <c r="E46" s="59">
        <f t="shared" si="15"/>
        <v>0</v>
      </c>
      <c r="F46" s="59">
        <f t="shared" si="15"/>
        <v>0</v>
      </c>
      <c r="G46" s="59">
        <f t="shared" si="15"/>
        <v>0</v>
      </c>
      <c r="H46" s="59">
        <f t="shared" si="15"/>
        <v>0</v>
      </c>
      <c r="I46" s="59">
        <f t="shared" si="15"/>
        <v>0</v>
      </c>
      <c r="K46" s="168"/>
    </row>
    <row r="47" spans="1:11" ht="13.5" thickBot="1">
      <c r="A47" s="426"/>
      <c r="B47" s="428"/>
      <c r="C47" s="170">
        <f>SUM(D47:I47)</f>
        <v>1</v>
      </c>
      <c r="D47" s="166">
        <v>1</v>
      </c>
      <c r="E47" s="174"/>
      <c r="F47" s="174"/>
      <c r="G47" s="174"/>
      <c r="H47" s="174"/>
      <c r="I47" s="171"/>
      <c r="K47" s="168"/>
    </row>
    <row r="48" spans="1:11">
      <c r="A48" s="425" t="s">
        <v>36</v>
      </c>
      <c r="B48" s="427" t="str">
        <f>'ORÇ. REFORMA'!D125</f>
        <v>INFRAESTRUTURA</v>
      </c>
      <c r="C48" s="163">
        <f>'ORÇ. REFORMA'!J129</f>
        <v>25674.964142530116</v>
      </c>
      <c r="D48" s="59">
        <f t="shared" ref="D48:I48" si="16">$C$48*D49</f>
        <v>0</v>
      </c>
      <c r="E48" s="59">
        <f t="shared" si="16"/>
        <v>25674.964142530116</v>
      </c>
      <c r="F48" s="59">
        <f t="shared" si="16"/>
        <v>0</v>
      </c>
      <c r="G48" s="59">
        <f t="shared" si="16"/>
        <v>0</v>
      </c>
      <c r="H48" s="59">
        <f t="shared" si="16"/>
        <v>0</v>
      </c>
      <c r="I48" s="59">
        <f t="shared" si="16"/>
        <v>0</v>
      </c>
      <c r="K48" s="168"/>
    </row>
    <row r="49" spans="1:12" ht="13.5" thickBot="1">
      <c r="A49" s="426"/>
      <c r="B49" s="428"/>
      <c r="C49" s="170">
        <f>SUM(D49:I49)</f>
        <v>1</v>
      </c>
      <c r="D49" s="174"/>
      <c r="E49" s="166">
        <v>1</v>
      </c>
      <c r="F49" s="269"/>
      <c r="G49" s="269"/>
      <c r="H49" s="269"/>
      <c r="I49" s="171"/>
      <c r="K49" s="168"/>
    </row>
    <row r="50" spans="1:12">
      <c r="A50" s="425" t="s">
        <v>113</v>
      </c>
      <c r="B50" s="427" t="str">
        <f>'ORÇ. REFORMA'!D130</f>
        <v>SUPRAESTRUTURA</v>
      </c>
      <c r="C50" s="163">
        <f>'ORÇ. REFORMA'!J136</f>
        <v>22775.959489571305</v>
      </c>
      <c r="D50" s="59">
        <f t="shared" ref="D50:I50" si="17">$C$50*D51</f>
        <v>0</v>
      </c>
      <c r="E50" s="59">
        <f t="shared" si="17"/>
        <v>15943.171642699912</v>
      </c>
      <c r="F50" s="59">
        <f t="shared" si="17"/>
        <v>6832.7878468713916</v>
      </c>
      <c r="G50" s="59">
        <f t="shared" si="17"/>
        <v>0</v>
      </c>
      <c r="H50" s="59">
        <f t="shared" si="17"/>
        <v>0</v>
      </c>
      <c r="I50" s="59">
        <f t="shared" si="17"/>
        <v>0</v>
      </c>
      <c r="K50" s="168"/>
    </row>
    <row r="51" spans="1:12" ht="13.5" thickBot="1">
      <c r="A51" s="426"/>
      <c r="B51" s="428"/>
      <c r="C51" s="170">
        <f>SUM(D51:I51)</f>
        <v>1</v>
      </c>
      <c r="D51" s="174"/>
      <c r="E51" s="268">
        <v>0.7</v>
      </c>
      <c r="F51" s="268">
        <v>0.3</v>
      </c>
      <c r="G51" s="172"/>
      <c r="H51" s="172"/>
      <c r="I51" s="171"/>
      <c r="K51" s="168"/>
    </row>
    <row r="52" spans="1:12">
      <c r="A52" s="425" t="s">
        <v>114</v>
      </c>
      <c r="B52" s="427" t="str">
        <f>'ORÇ. REFORMA'!D137</f>
        <v>PAREDES, PAINÉIS E BANCADAS</v>
      </c>
      <c r="C52" s="163">
        <f>'ORÇ. REFORMA'!J146</f>
        <v>42876.471973089647</v>
      </c>
      <c r="D52" s="59">
        <f t="shared" ref="D52:I52" si="18">$C$52*D53</f>
        <v>0</v>
      </c>
      <c r="E52" s="59">
        <f t="shared" si="18"/>
        <v>8575.2943946179294</v>
      </c>
      <c r="F52" s="59">
        <f t="shared" si="18"/>
        <v>17150.588789235859</v>
      </c>
      <c r="G52" s="59">
        <f t="shared" si="18"/>
        <v>0</v>
      </c>
      <c r="H52" s="59">
        <f t="shared" si="18"/>
        <v>15006.765190581375</v>
      </c>
      <c r="I52" s="59">
        <f t="shared" si="18"/>
        <v>2143.8235986544823</v>
      </c>
      <c r="K52" s="168"/>
    </row>
    <row r="53" spans="1:12" ht="13.5" thickBot="1">
      <c r="A53" s="426"/>
      <c r="B53" s="428"/>
      <c r="C53" s="170">
        <f>SUM(D53:I53)</f>
        <v>1</v>
      </c>
      <c r="D53" s="174"/>
      <c r="E53" s="268">
        <v>0.2</v>
      </c>
      <c r="F53" s="268">
        <v>0.4</v>
      </c>
      <c r="G53" s="270"/>
      <c r="H53" s="268">
        <v>0.35</v>
      </c>
      <c r="I53" s="268">
        <v>0.05</v>
      </c>
      <c r="K53" s="168"/>
    </row>
    <row r="54" spans="1:12">
      <c r="A54" s="425" t="s">
        <v>115</v>
      </c>
      <c r="B54" s="427" t="str">
        <f>'ORÇ. REFORMA'!D147</f>
        <v>COBERTA</v>
      </c>
      <c r="C54" s="163">
        <f>'ORÇ. REFORMA'!J156</f>
        <v>36276.71041602167</v>
      </c>
      <c r="D54" s="59">
        <f t="shared" ref="D54:I54" si="19">$C$54*D55</f>
        <v>0</v>
      </c>
      <c r="E54" s="59">
        <f t="shared" si="19"/>
        <v>0</v>
      </c>
      <c r="F54" s="59">
        <f t="shared" si="19"/>
        <v>7255.3420832043339</v>
      </c>
      <c r="G54" s="59">
        <f t="shared" si="19"/>
        <v>25393.697291215169</v>
      </c>
      <c r="H54" s="59">
        <f t="shared" si="19"/>
        <v>3627.671041602167</v>
      </c>
      <c r="I54" s="59">
        <f t="shared" si="19"/>
        <v>0</v>
      </c>
      <c r="K54" s="168"/>
    </row>
    <row r="55" spans="1:12" ht="13.5" thickBot="1">
      <c r="A55" s="426"/>
      <c r="B55" s="428"/>
      <c r="C55" s="170">
        <f>SUM(D55:I55)</f>
        <v>0.99999999999999989</v>
      </c>
      <c r="D55" s="174"/>
      <c r="E55" s="174"/>
      <c r="F55" s="166">
        <v>0.2</v>
      </c>
      <c r="G55" s="166">
        <v>0.7</v>
      </c>
      <c r="H55" s="166">
        <v>0.1</v>
      </c>
      <c r="I55" s="174"/>
      <c r="K55" s="168"/>
    </row>
    <row r="56" spans="1:12">
      <c r="A56" s="425" t="s">
        <v>116</v>
      </c>
      <c r="B56" s="427" t="str">
        <f>'ORÇ. REFORMA'!D157</f>
        <v xml:space="preserve">ESQUADRIAS </v>
      </c>
      <c r="C56" s="163">
        <f>'ORÇ. REFORMA'!J167</f>
        <v>24556.490806074074</v>
      </c>
      <c r="D56" s="59">
        <f t="shared" ref="D56:I56" si="20">$C$56*D57</f>
        <v>0</v>
      </c>
      <c r="E56" s="59">
        <f t="shared" si="20"/>
        <v>0</v>
      </c>
      <c r="F56" s="59">
        <f t="shared" si="20"/>
        <v>12278.245403037037</v>
      </c>
      <c r="G56" s="59">
        <f t="shared" si="20"/>
        <v>0</v>
      </c>
      <c r="H56" s="59">
        <f t="shared" si="20"/>
        <v>12278.245403037037</v>
      </c>
      <c r="I56" s="59">
        <f t="shared" si="20"/>
        <v>0</v>
      </c>
      <c r="K56" s="168"/>
    </row>
    <row r="57" spans="1:12" ht="13.5" thickBot="1">
      <c r="A57" s="426"/>
      <c r="B57" s="428"/>
      <c r="C57" s="170">
        <f>SUM(D57:I57)</f>
        <v>1</v>
      </c>
      <c r="D57" s="172"/>
      <c r="E57" s="174"/>
      <c r="F57" s="166">
        <v>0.5</v>
      </c>
      <c r="G57" s="174"/>
      <c r="H57" s="166">
        <v>0.5</v>
      </c>
      <c r="I57" s="174"/>
      <c r="K57" s="168"/>
    </row>
    <row r="58" spans="1:12">
      <c r="A58" s="425" t="s">
        <v>117</v>
      </c>
      <c r="B58" s="427" t="str">
        <f>'ORÇ. REFORMA'!D168</f>
        <v>REVESTIMENTOS</v>
      </c>
      <c r="C58" s="163">
        <f>'ORÇ. REFORMA'!J174</f>
        <v>56516.901361179014</v>
      </c>
      <c r="D58" s="59">
        <f t="shared" ref="D58:I58" si="21">$C$58*D59</f>
        <v>0</v>
      </c>
      <c r="E58" s="59">
        <f t="shared" si="21"/>
        <v>0</v>
      </c>
      <c r="F58" s="59">
        <f t="shared" si="21"/>
        <v>5651.6901361179016</v>
      </c>
      <c r="G58" s="59">
        <f t="shared" si="21"/>
        <v>33910.140816707404</v>
      </c>
      <c r="H58" s="59">
        <f t="shared" si="21"/>
        <v>14129.225340294754</v>
      </c>
      <c r="I58" s="59">
        <f t="shared" si="21"/>
        <v>2825.8450680589508</v>
      </c>
      <c r="K58" s="168"/>
      <c r="L58" s="153" t="s">
        <v>822</v>
      </c>
    </row>
    <row r="59" spans="1:12" ht="13.5" thickBot="1">
      <c r="A59" s="426"/>
      <c r="B59" s="428"/>
      <c r="C59" s="170">
        <f>SUM(D59:I59)</f>
        <v>1</v>
      </c>
      <c r="D59" s="172"/>
      <c r="E59" s="174"/>
      <c r="F59" s="166">
        <v>0.1</v>
      </c>
      <c r="G59" s="166">
        <v>0.6</v>
      </c>
      <c r="H59" s="166">
        <v>0.25</v>
      </c>
      <c r="I59" s="166">
        <v>0.05</v>
      </c>
      <c r="K59" s="168"/>
    </row>
    <row r="60" spans="1:12">
      <c r="A60" s="425" t="s">
        <v>722</v>
      </c>
      <c r="B60" s="427" t="str">
        <f>'ORÇ. REFORMA'!D175</f>
        <v>PAVIMENTAÇÃO</v>
      </c>
      <c r="C60" s="163">
        <f>'ORÇ. REFORMA'!J178</f>
        <v>27450.526013012699</v>
      </c>
      <c r="D60" s="59">
        <f t="shared" ref="D60:I60" si="22">$C$60*D61</f>
        <v>0</v>
      </c>
      <c r="E60" s="59">
        <f t="shared" si="22"/>
        <v>0</v>
      </c>
      <c r="F60" s="59">
        <f t="shared" si="22"/>
        <v>0</v>
      </c>
      <c r="G60" s="59">
        <f t="shared" si="22"/>
        <v>5490.10520260254</v>
      </c>
      <c r="H60" s="59">
        <f t="shared" si="22"/>
        <v>21960.42081041016</v>
      </c>
      <c r="I60" s="59">
        <f t="shared" si="22"/>
        <v>0</v>
      </c>
      <c r="K60" s="168"/>
    </row>
    <row r="61" spans="1:12" ht="13.5" thickBot="1">
      <c r="A61" s="426"/>
      <c r="B61" s="428"/>
      <c r="C61" s="170">
        <f>SUM(D61:I61)</f>
        <v>1</v>
      </c>
      <c r="D61" s="172"/>
      <c r="E61" s="174"/>
      <c r="F61" s="270"/>
      <c r="G61" s="268">
        <v>0.2</v>
      </c>
      <c r="H61" s="268">
        <v>0.8</v>
      </c>
      <c r="I61" s="173"/>
      <c r="K61" s="168"/>
    </row>
    <row r="62" spans="1:12">
      <c r="A62" s="425" t="s">
        <v>726</v>
      </c>
      <c r="B62" s="427" t="str">
        <f>'ORÇ. REFORMA'!D179</f>
        <v>INSTALAÇÕES HIDRO-SANITÁRIAS</v>
      </c>
      <c r="C62" s="163">
        <f>'ORÇ. REFORMA'!J204</f>
        <v>36811.172040211066</v>
      </c>
      <c r="D62" s="59">
        <f t="shared" ref="D62:I62" si="23">$C$62*D63</f>
        <v>0</v>
      </c>
      <c r="E62" s="59">
        <f t="shared" si="23"/>
        <v>11043.351612063319</v>
      </c>
      <c r="F62" s="59">
        <f t="shared" si="23"/>
        <v>18405.586020105533</v>
      </c>
      <c r="G62" s="59">
        <f t="shared" si="23"/>
        <v>7362.2344080422135</v>
      </c>
      <c r="H62" s="59">
        <f t="shared" si="23"/>
        <v>0</v>
      </c>
      <c r="I62" s="59">
        <f t="shared" si="23"/>
        <v>0</v>
      </c>
      <c r="K62" s="168"/>
    </row>
    <row r="63" spans="1:12" ht="13.5" thickBot="1">
      <c r="A63" s="426"/>
      <c r="B63" s="428"/>
      <c r="C63" s="170">
        <f>SUM(D63:I63)</f>
        <v>1</v>
      </c>
      <c r="D63" s="174"/>
      <c r="E63" s="166">
        <v>0.3</v>
      </c>
      <c r="F63" s="166">
        <v>0.5</v>
      </c>
      <c r="G63" s="166">
        <v>0.2</v>
      </c>
      <c r="H63" s="174"/>
      <c r="I63" s="174"/>
      <c r="K63" s="168"/>
    </row>
    <row r="64" spans="1:12">
      <c r="A64" s="425" t="s">
        <v>752</v>
      </c>
      <c r="B64" s="427" t="str">
        <f>'ORÇ. REFORMA'!D205</f>
        <v>LOUÇAS E METAIS</v>
      </c>
      <c r="C64" s="163">
        <f>'ORÇ. REFORMA'!J215</f>
        <v>6175.8315657147969</v>
      </c>
      <c r="D64" s="59">
        <f t="shared" ref="D64:I64" si="24">$C$64*D65</f>
        <v>0</v>
      </c>
      <c r="E64" s="59">
        <f t="shared" si="24"/>
        <v>0</v>
      </c>
      <c r="F64" s="59">
        <f t="shared" si="24"/>
        <v>0</v>
      </c>
      <c r="G64" s="59">
        <f t="shared" si="24"/>
        <v>0</v>
      </c>
      <c r="H64" s="59">
        <f t="shared" si="24"/>
        <v>3396.7073611431388</v>
      </c>
      <c r="I64" s="59">
        <f t="shared" si="24"/>
        <v>2779.1242045716585</v>
      </c>
      <c r="K64" s="168"/>
    </row>
    <row r="65" spans="1:11" ht="13.5" thickBot="1">
      <c r="A65" s="426"/>
      <c r="B65" s="428"/>
      <c r="C65" s="170">
        <f>SUM(D65:I65)</f>
        <v>1</v>
      </c>
      <c r="D65" s="174"/>
      <c r="E65" s="173"/>
      <c r="F65" s="173"/>
      <c r="G65" s="173"/>
      <c r="H65" s="167">
        <v>0.55000000000000004</v>
      </c>
      <c r="I65" s="167">
        <v>0.45</v>
      </c>
      <c r="K65" s="168"/>
    </row>
    <row r="66" spans="1:11">
      <c r="A66" s="425" t="s">
        <v>763</v>
      </c>
      <c r="B66" s="427" t="str">
        <f>'ORÇ. REFORMA'!D216</f>
        <v>INSTALAÇÕES ELÉTRICA</v>
      </c>
      <c r="C66" s="163">
        <f>'ORÇ. REFORMA'!J229</f>
        <v>25462.008039359713</v>
      </c>
      <c r="D66" s="59">
        <f t="shared" ref="D66:I66" si="25">$C$66*D67</f>
        <v>0</v>
      </c>
      <c r="E66" s="59">
        <f t="shared" si="25"/>
        <v>0</v>
      </c>
      <c r="F66" s="59">
        <f t="shared" si="25"/>
        <v>10184.803215743887</v>
      </c>
      <c r="G66" s="59">
        <f t="shared" si="25"/>
        <v>7638.6024118079131</v>
      </c>
      <c r="H66" s="59">
        <f t="shared" si="25"/>
        <v>3819.3012059039565</v>
      </c>
      <c r="I66" s="59">
        <f t="shared" si="25"/>
        <v>3819.3012059039565</v>
      </c>
      <c r="K66" s="168"/>
    </row>
    <row r="67" spans="1:11" ht="13.5" thickBot="1">
      <c r="A67" s="426"/>
      <c r="B67" s="428"/>
      <c r="C67" s="170">
        <f>SUM(D67:I67)</f>
        <v>1</v>
      </c>
      <c r="D67" s="173"/>
      <c r="E67" s="173"/>
      <c r="F67" s="167">
        <v>0.4</v>
      </c>
      <c r="G67" s="167">
        <v>0.3</v>
      </c>
      <c r="H67" s="167">
        <v>0.15</v>
      </c>
      <c r="I67" s="167">
        <v>0.15</v>
      </c>
      <c r="K67" s="168"/>
    </row>
    <row r="68" spans="1:11">
      <c r="A68" s="425" t="s">
        <v>777</v>
      </c>
      <c r="B68" s="427" t="str">
        <f>'ORÇ. REFORMA'!D230</f>
        <v>PINTURA</v>
      </c>
      <c r="C68" s="163">
        <f>'ORÇ. REFORMA'!J237</f>
        <v>22666.251802748928</v>
      </c>
      <c r="D68" s="59">
        <f t="shared" ref="D68:I68" si="26">$C$68*D69</f>
        <v>0</v>
      </c>
      <c r="E68" s="59">
        <f t="shared" si="26"/>
        <v>0</v>
      </c>
      <c r="F68" s="59">
        <f t="shared" si="26"/>
        <v>0</v>
      </c>
      <c r="G68" s="59">
        <f t="shared" si="26"/>
        <v>0</v>
      </c>
      <c r="H68" s="59">
        <f t="shared" si="26"/>
        <v>6799.875540824678</v>
      </c>
      <c r="I68" s="59">
        <f t="shared" si="26"/>
        <v>15866.376261924248</v>
      </c>
      <c r="K68" s="168"/>
    </row>
    <row r="69" spans="1:11" ht="13.5" thickBot="1">
      <c r="A69" s="426"/>
      <c r="B69" s="428"/>
      <c r="C69" s="170">
        <f>SUM(D69:I69)</f>
        <v>1</v>
      </c>
      <c r="D69" s="174"/>
      <c r="E69" s="167"/>
      <c r="F69" s="167"/>
      <c r="G69" s="167"/>
      <c r="H69" s="167">
        <v>0.3</v>
      </c>
      <c r="I69" s="167">
        <v>0.7</v>
      </c>
      <c r="K69" s="168"/>
    </row>
    <row r="70" spans="1:11">
      <c r="A70" s="425" t="s">
        <v>785</v>
      </c>
      <c r="B70" s="427" t="str">
        <f>'ORÇ. REFORMA'!D238</f>
        <v>SERVIÇOS COMPLEMENTARES</v>
      </c>
      <c r="C70" s="163">
        <f>'ORÇ. REFORMA'!J241</f>
        <v>800.82186874424383</v>
      </c>
      <c r="D70" s="59">
        <f t="shared" ref="D70:I70" si="27">$C$70*D71</f>
        <v>0</v>
      </c>
      <c r="E70" s="59">
        <f t="shared" si="27"/>
        <v>0</v>
      </c>
      <c r="F70" s="59">
        <f t="shared" si="27"/>
        <v>0</v>
      </c>
      <c r="G70" s="59">
        <f t="shared" si="27"/>
        <v>0</v>
      </c>
      <c r="H70" s="59">
        <f t="shared" si="27"/>
        <v>0</v>
      </c>
      <c r="I70" s="59">
        <f t="shared" si="27"/>
        <v>800.82186874424383</v>
      </c>
      <c r="K70" s="168"/>
    </row>
    <row r="71" spans="1:11" ht="13.5" thickBot="1">
      <c r="A71" s="426"/>
      <c r="B71" s="428"/>
      <c r="C71" s="170">
        <f>SUM(D71:I71)</f>
        <v>1</v>
      </c>
      <c r="D71" s="174"/>
      <c r="E71" s="173"/>
      <c r="F71" s="173"/>
      <c r="G71" s="173"/>
      <c r="H71" s="173"/>
      <c r="I71" s="167">
        <v>1</v>
      </c>
      <c r="K71" s="168"/>
    </row>
    <row r="72" spans="1:11" ht="4.5" customHeight="1" thickBot="1">
      <c r="A72" s="60"/>
      <c r="B72" s="60"/>
      <c r="C72" s="60"/>
      <c r="D72" s="60"/>
      <c r="E72" s="175"/>
      <c r="F72" s="175"/>
      <c r="G72" s="175"/>
      <c r="H72" s="175"/>
      <c r="I72" s="175"/>
    </row>
    <row r="73" spans="1:11" ht="15.75">
      <c r="A73" s="438" t="s">
        <v>126</v>
      </c>
      <c r="B73" s="439"/>
      <c r="C73" s="58">
        <f>C14+C17+C19+C21+C23+C25+C27+C29+C31+C33+C35+C37+C39+C41+C43+C46+C48+C50+C52+C54+C56+C58+C60+C62+C64+C66+C68+C70</f>
        <v>405315.6066331265</v>
      </c>
      <c r="D73" s="58">
        <f t="shared" ref="D73:I73" si="28">D14+D17+D19+D21+D23+D25+D27+D29+D31+D33+D35+D37+D39+D41+D43+D46+D48+D50+D52+D54+D56+D58+D60+D62+D64+D66+D68+D70</f>
        <v>14454.044460171926</v>
      </c>
      <c r="E73" s="58">
        <f t="shared" si="28"/>
        <v>67184.256180027034</v>
      </c>
      <c r="F73" s="58">
        <f t="shared" si="28"/>
        <v>91766.131820265495</v>
      </c>
      <c r="G73" s="58">
        <f t="shared" si="28"/>
        <v>92630.262912323029</v>
      </c>
      <c r="H73" s="58">
        <f t="shared" si="28"/>
        <v>101617.58890851108</v>
      </c>
      <c r="I73" s="58">
        <f t="shared" si="28"/>
        <v>37663.322351827956</v>
      </c>
    </row>
    <row r="74" spans="1:11" ht="15.75">
      <c r="A74" s="440" t="s">
        <v>127</v>
      </c>
      <c r="B74" s="441"/>
      <c r="C74" s="442"/>
      <c r="D74" s="57">
        <f>D73</f>
        <v>14454.044460171926</v>
      </c>
      <c r="E74" s="57">
        <f>E73+D74</f>
        <v>81638.300640198955</v>
      </c>
      <c r="F74" s="57">
        <f>F73+E74</f>
        <v>173404.43246046445</v>
      </c>
      <c r="G74" s="57">
        <f>G73+F74</f>
        <v>266034.69537278748</v>
      </c>
      <c r="H74" s="57">
        <f>H73+G74</f>
        <v>367652.28428129858</v>
      </c>
      <c r="I74" s="57">
        <f>I73+H74</f>
        <v>405315.6066331265</v>
      </c>
    </row>
    <row r="75" spans="1:11" ht="15.75">
      <c r="A75" s="440" t="s">
        <v>128</v>
      </c>
      <c r="B75" s="441"/>
      <c r="C75" s="442"/>
      <c r="D75" s="176">
        <f t="shared" ref="D75:I75" si="29">D73/$C$73</f>
        <v>3.5661208755909266E-2</v>
      </c>
      <c r="E75" s="176">
        <f t="shared" si="29"/>
        <v>0.16575788121783133</v>
      </c>
      <c r="F75" s="176">
        <f t="shared" si="29"/>
        <v>0.22640660837747628</v>
      </c>
      <c r="G75" s="176">
        <f t="shared" si="29"/>
        <v>0.2285386039826682</v>
      </c>
      <c r="H75" s="176">
        <f t="shared" si="29"/>
        <v>0.25071225298385996</v>
      </c>
      <c r="I75" s="176">
        <f t="shared" si="29"/>
        <v>9.2923444682254996E-2</v>
      </c>
    </row>
    <row r="76" spans="1:11" ht="16.5" thickBot="1">
      <c r="A76" s="443" t="s">
        <v>129</v>
      </c>
      <c r="B76" s="444"/>
      <c r="C76" s="445"/>
      <c r="D76" s="177">
        <f>D75</f>
        <v>3.5661208755909266E-2</v>
      </c>
      <c r="E76" s="177">
        <f>E75+D76</f>
        <v>0.20141908997374058</v>
      </c>
      <c r="F76" s="177">
        <f>F75+E76</f>
        <v>0.42782569835121687</v>
      </c>
      <c r="G76" s="177">
        <f>G75+F76</f>
        <v>0.6563643023338851</v>
      </c>
      <c r="H76" s="177">
        <f>H75+G76</f>
        <v>0.90707655531774511</v>
      </c>
      <c r="I76" s="177">
        <f>I75+H76</f>
        <v>1</v>
      </c>
    </row>
    <row r="77" spans="1:11">
      <c r="A77" s="429" t="s">
        <v>203</v>
      </c>
      <c r="B77" s="430"/>
      <c r="C77" s="430"/>
      <c r="D77" s="374"/>
      <c r="E77" s="374"/>
      <c r="F77" s="435"/>
      <c r="G77" s="435"/>
      <c r="H77" s="435"/>
      <c r="I77" s="375"/>
    </row>
    <row r="78" spans="1:11">
      <c r="A78" s="431"/>
      <c r="B78" s="432"/>
      <c r="C78" s="432"/>
      <c r="D78" s="376"/>
      <c r="E78" s="376"/>
      <c r="F78" s="436"/>
      <c r="G78" s="436"/>
      <c r="H78" s="436"/>
      <c r="I78" s="377"/>
    </row>
    <row r="79" spans="1:11">
      <c r="A79" s="431"/>
      <c r="B79" s="432"/>
      <c r="C79" s="432"/>
      <c r="D79" s="376"/>
      <c r="E79" s="376"/>
      <c r="F79" s="436"/>
      <c r="G79" s="436"/>
      <c r="H79" s="436"/>
      <c r="I79" s="377"/>
    </row>
    <row r="80" spans="1:11">
      <c r="A80" s="431"/>
      <c r="B80" s="432"/>
      <c r="C80" s="432"/>
      <c r="D80" s="376"/>
      <c r="E80" s="376"/>
      <c r="F80" s="436"/>
      <c r="G80" s="436"/>
      <c r="H80" s="436"/>
      <c r="I80" s="377"/>
    </row>
    <row r="81" spans="1:9">
      <c r="A81" s="431"/>
      <c r="B81" s="432"/>
      <c r="C81" s="432"/>
      <c r="D81" s="376"/>
      <c r="E81" s="376"/>
      <c r="F81" s="436"/>
      <c r="G81" s="436"/>
      <c r="H81" s="436"/>
      <c r="I81" s="377"/>
    </row>
    <row r="82" spans="1:9" ht="40.5" customHeight="1" thickBot="1">
      <c r="A82" s="433"/>
      <c r="B82" s="434"/>
      <c r="C82" s="434"/>
      <c r="D82" s="378"/>
      <c r="E82" s="378"/>
      <c r="F82" s="437"/>
      <c r="G82" s="437"/>
      <c r="H82" s="437"/>
      <c r="I82" s="379"/>
    </row>
    <row r="85" spans="1:9">
      <c r="E85" s="4">
        <v>246207.37562919999</v>
      </c>
      <c r="I85" s="4">
        <v>297178.60432499996</v>
      </c>
    </row>
    <row r="86" spans="1:9">
      <c r="E86" s="4">
        <f>E85*0.02</f>
        <v>4924.1475125839997</v>
      </c>
    </row>
  </sheetData>
  <mergeCells count="79">
    <mergeCell ref="A25:A26"/>
    <mergeCell ref="B25:B26"/>
    <mergeCell ref="A27:A28"/>
    <mergeCell ref="A16:I16"/>
    <mergeCell ref="A21:A22"/>
    <mergeCell ref="B21:B22"/>
    <mergeCell ref="A23:A24"/>
    <mergeCell ref="B23:B24"/>
    <mergeCell ref="B27:B28"/>
    <mergeCell ref="F4:G4"/>
    <mergeCell ref="H4:I4"/>
    <mergeCell ref="F5:G6"/>
    <mergeCell ref="H5:I6"/>
    <mergeCell ref="A4:E4"/>
    <mergeCell ref="A5:E5"/>
    <mergeCell ref="A6:E6"/>
    <mergeCell ref="A70:A71"/>
    <mergeCell ref="B70:B71"/>
    <mergeCell ref="A45:I45"/>
    <mergeCell ref="B50:B51"/>
    <mergeCell ref="A54:A55"/>
    <mergeCell ref="B54:B55"/>
    <mergeCell ref="A56:A57"/>
    <mergeCell ref="A52:A53"/>
    <mergeCell ref="B52:B53"/>
    <mergeCell ref="J16:M16"/>
    <mergeCell ref="A46:A47"/>
    <mergeCell ref="B46:B47"/>
    <mergeCell ref="A1:I1"/>
    <mergeCell ref="A2:I2"/>
    <mergeCell ref="A8:I8"/>
    <mergeCell ref="A9:A11"/>
    <mergeCell ref="B9:B11"/>
    <mergeCell ref="C9:C11"/>
    <mergeCell ref="A14:A15"/>
    <mergeCell ref="B14:B15"/>
    <mergeCell ref="A13:I13"/>
    <mergeCell ref="A17:A18"/>
    <mergeCell ref="B17:B18"/>
    <mergeCell ref="A19:A20"/>
    <mergeCell ref="B19:B20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D77:I82"/>
    <mergeCell ref="A39:A40"/>
    <mergeCell ref="B39:B40"/>
    <mergeCell ref="A43:A44"/>
    <mergeCell ref="B43:B44"/>
    <mergeCell ref="A73:B73"/>
    <mergeCell ref="A74:C74"/>
    <mergeCell ref="A75:C75"/>
    <mergeCell ref="A76:C76"/>
    <mergeCell ref="A48:A49"/>
    <mergeCell ref="B48:B49"/>
    <mergeCell ref="A50:A51"/>
    <mergeCell ref="A41:A42"/>
    <mergeCell ref="B41:B42"/>
    <mergeCell ref="A77:C82"/>
    <mergeCell ref="B56:B57"/>
    <mergeCell ref="A58:A59"/>
    <mergeCell ref="B58:B59"/>
    <mergeCell ref="A60:A61"/>
    <mergeCell ref="B60:B61"/>
    <mergeCell ref="A62:A63"/>
    <mergeCell ref="B62:B63"/>
    <mergeCell ref="A64:A65"/>
    <mergeCell ref="B64:B65"/>
    <mergeCell ref="A66:A67"/>
    <mergeCell ref="B66:B67"/>
    <mergeCell ref="A68:A69"/>
    <mergeCell ref="B68:B69"/>
  </mergeCells>
  <pageMargins left="0.51181102362204722" right="0.51181102362204722" top="0.78740157480314965" bottom="0.78740157480314965" header="0.31496062992125984" footer="0.31496062992125984"/>
  <pageSetup paperSize="9" scale="60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8"/>
  <sheetViews>
    <sheetView view="pageBreakPreview" topLeftCell="A7" zoomScale="110" zoomScaleSheetLayoutView="110" workbookViewId="0">
      <selection activeCell="A4" sqref="A4:E4"/>
    </sheetView>
  </sheetViews>
  <sheetFormatPr defaultColWidth="30" defaultRowHeight="12.75"/>
  <cols>
    <col min="1" max="2" width="10.140625" style="80" customWidth="1"/>
    <col min="3" max="3" width="30" style="107" customWidth="1"/>
    <col min="4" max="5" width="19.7109375" style="80" customWidth="1"/>
    <col min="6" max="6" width="14.7109375" style="79" customWidth="1"/>
    <col min="7" max="254" width="9.140625" style="79" customWidth="1"/>
    <col min="255" max="255" width="10.140625" style="79" customWidth="1"/>
    <col min="256" max="256" width="30" style="79"/>
    <col min="257" max="258" width="10.140625" style="79" customWidth="1"/>
    <col min="259" max="259" width="30" style="79" customWidth="1"/>
    <col min="260" max="261" width="19.7109375" style="79" customWidth="1"/>
    <col min="262" max="262" width="14.7109375" style="79" customWidth="1"/>
    <col min="263" max="510" width="9.140625" style="79" customWidth="1"/>
    <col min="511" max="511" width="10.140625" style="79" customWidth="1"/>
    <col min="512" max="512" width="30" style="79"/>
    <col min="513" max="514" width="10.140625" style="79" customWidth="1"/>
    <col min="515" max="515" width="30" style="79" customWidth="1"/>
    <col min="516" max="517" width="19.7109375" style="79" customWidth="1"/>
    <col min="518" max="518" width="14.7109375" style="79" customWidth="1"/>
    <col min="519" max="766" width="9.140625" style="79" customWidth="1"/>
    <col min="767" max="767" width="10.140625" style="79" customWidth="1"/>
    <col min="768" max="768" width="30" style="79"/>
    <col min="769" max="770" width="10.140625" style="79" customWidth="1"/>
    <col min="771" max="771" width="30" style="79" customWidth="1"/>
    <col min="772" max="773" width="19.7109375" style="79" customWidth="1"/>
    <col min="774" max="774" width="14.7109375" style="79" customWidth="1"/>
    <col min="775" max="1022" width="9.140625" style="79" customWidth="1"/>
    <col min="1023" max="1023" width="10.140625" style="79" customWidth="1"/>
    <col min="1024" max="1024" width="30" style="79"/>
    <col min="1025" max="1026" width="10.140625" style="79" customWidth="1"/>
    <col min="1027" max="1027" width="30" style="79" customWidth="1"/>
    <col min="1028" max="1029" width="19.7109375" style="79" customWidth="1"/>
    <col min="1030" max="1030" width="14.7109375" style="79" customWidth="1"/>
    <col min="1031" max="1278" width="9.140625" style="79" customWidth="1"/>
    <col min="1279" max="1279" width="10.140625" style="79" customWidth="1"/>
    <col min="1280" max="1280" width="30" style="79"/>
    <col min="1281" max="1282" width="10.140625" style="79" customWidth="1"/>
    <col min="1283" max="1283" width="30" style="79" customWidth="1"/>
    <col min="1284" max="1285" width="19.7109375" style="79" customWidth="1"/>
    <col min="1286" max="1286" width="14.7109375" style="79" customWidth="1"/>
    <col min="1287" max="1534" width="9.140625" style="79" customWidth="1"/>
    <col min="1535" max="1535" width="10.140625" style="79" customWidth="1"/>
    <col min="1536" max="1536" width="30" style="79"/>
    <col min="1537" max="1538" width="10.140625" style="79" customWidth="1"/>
    <col min="1539" max="1539" width="30" style="79" customWidth="1"/>
    <col min="1540" max="1541" width="19.7109375" style="79" customWidth="1"/>
    <col min="1542" max="1542" width="14.7109375" style="79" customWidth="1"/>
    <col min="1543" max="1790" width="9.140625" style="79" customWidth="1"/>
    <col min="1791" max="1791" width="10.140625" style="79" customWidth="1"/>
    <col min="1792" max="1792" width="30" style="79"/>
    <col min="1793" max="1794" width="10.140625" style="79" customWidth="1"/>
    <col min="1795" max="1795" width="30" style="79" customWidth="1"/>
    <col min="1796" max="1797" width="19.7109375" style="79" customWidth="1"/>
    <col min="1798" max="1798" width="14.7109375" style="79" customWidth="1"/>
    <col min="1799" max="2046" width="9.140625" style="79" customWidth="1"/>
    <col min="2047" max="2047" width="10.140625" style="79" customWidth="1"/>
    <col min="2048" max="2048" width="30" style="79"/>
    <col min="2049" max="2050" width="10.140625" style="79" customWidth="1"/>
    <col min="2051" max="2051" width="30" style="79" customWidth="1"/>
    <col min="2052" max="2053" width="19.7109375" style="79" customWidth="1"/>
    <col min="2054" max="2054" width="14.7109375" style="79" customWidth="1"/>
    <col min="2055" max="2302" width="9.140625" style="79" customWidth="1"/>
    <col min="2303" max="2303" width="10.140625" style="79" customWidth="1"/>
    <col min="2304" max="2304" width="30" style="79"/>
    <col min="2305" max="2306" width="10.140625" style="79" customWidth="1"/>
    <col min="2307" max="2307" width="30" style="79" customWidth="1"/>
    <col min="2308" max="2309" width="19.7109375" style="79" customWidth="1"/>
    <col min="2310" max="2310" width="14.7109375" style="79" customWidth="1"/>
    <col min="2311" max="2558" width="9.140625" style="79" customWidth="1"/>
    <col min="2559" max="2559" width="10.140625" style="79" customWidth="1"/>
    <col min="2560" max="2560" width="30" style="79"/>
    <col min="2561" max="2562" width="10.140625" style="79" customWidth="1"/>
    <col min="2563" max="2563" width="30" style="79" customWidth="1"/>
    <col min="2564" max="2565" width="19.7109375" style="79" customWidth="1"/>
    <col min="2566" max="2566" width="14.7109375" style="79" customWidth="1"/>
    <col min="2567" max="2814" width="9.140625" style="79" customWidth="1"/>
    <col min="2815" max="2815" width="10.140625" style="79" customWidth="1"/>
    <col min="2816" max="2816" width="30" style="79"/>
    <col min="2817" max="2818" width="10.140625" style="79" customWidth="1"/>
    <col min="2819" max="2819" width="30" style="79" customWidth="1"/>
    <col min="2820" max="2821" width="19.7109375" style="79" customWidth="1"/>
    <col min="2822" max="2822" width="14.7109375" style="79" customWidth="1"/>
    <col min="2823" max="3070" width="9.140625" style="79" customWidth="1"/>
    <col min="3071" max="3071" width="10.140625" style="79" customWidth="1"/>
    <col min="3072" max="3072" width="30" style="79"/>
    <col min="3073" max="3074" width="10.140625" style="79" customWidth="1"/>
    <col min="3075" max="3075" width="30" style="79" customWidth="1"/>
    <col min="3076" max="3077" width="19.7109375" style="79" customWidth="1"/>
    <col min="3078" max="3078" width="14.7109375" style="79" customWidth="1"/>
    <col min="3079" max="3326" width="9.140625" style="79" customWidth="1"/>
    <col min="3327" max="3327" width="10.140625" style="79" customWidth="1"/>
    <col min="3328" max="3328" width="30" style="79"/>
    <col min="3329" max="3330" width="10.140625" style="79" customWidth="1"/>
    <col min="3331" max="3331" width="30" style="79" customWidth="1"/>
    <col min="3332" max="3333" width="19.7109375" style="79" customWidth="1"/>
    <col min="3334" max="3334" width="14.7109375" style="79" customWidth="1"/>
    <col min="3335" max="3582" width="9.140625" style="79" customWidth="1"/>
    <col min="3583" max="3583" width="10.140625" style="79" customWidth="1"/>
    <col min="3584" max="3584" width="30" style="79"/>
    <col min="3585" max="3586" width="10.140625" style="79" customWidth="1"/>
    <col min="3587" max="3587" width="30" style="79" customWidth="1"/>
    <col min="3588" max="3589" width="19.7109375" style="79" customWidth="1"/>
    <col min="3590" max="3590" width="14.7109375" style="79" customWidth="1"/>
    <col min="3591" max="3838" width="9.140625" style="79" customWidth="1"/>
    <col min="3839" max="3839" width="10.140625" style="79" customWidth="1"/>
    <col min="3840" max="3840" width="30" style="79"/>
    <col min="3841" max="3842" width="10.140625" style="79" customWidth="1"/>
    <col min="3843" max="3843" width="30" style="79" customWidth="1"/>
    <col min="3844" max="3845" width="19.7109375" style="79" customWidth="1"/>
    <col min="3846" max="3846" width="14.7109375" style="79" customWidth="1"/>
    <col min="3847" max="4094" width="9.140625" style="79" customWidth="1"/>
    <col min="4095" max="4095" width="10.140625" style="79" customWidth="1"/>
    <col min="4096" max="4096" width="30" style="79"/>
    <col min="4097" max="4098" width="10.140625" style="79" customWidth="1"/>
    <col min="4099" max="4099" width="30" style="79" customWidth="1"/>
    <col min="4100" max="4101" width="19.7109375" style="79" customWidth="1"/>
    <col min="4102" max="4102" width="14.7109375" style="79" customWidth="1"/>
    <col min="4103" max="4350" width="9.140625" style="79" customWidth="1"/>
    <col min="4351" max="4351" width="10.140625" style="79" customWidth="1"/>
    <col min="4352" max="4352" width="30" style="79"/>
    <col min="4353" max="4354" width="10.140625" style="79" customWidth="1"/>
    <col min="4355" max="4355" width="30" style="79" customWidth="1"/>
    <col min="4356" max="4357" width="19.7109375" style="79" customWidth="1"/>
    <col min="4358" max="4358" width="14.7109375" style="79" customWidth="1"/>
    <col min="4359" max="4606" width="9.140625" style="79" customWidth="1"/>
    <col min="4607" max="4607" width="10.140625" style="79" customWidth="1"/>
    <col min="4608" max="4608" width="30" style="79"/>
    <col min="4609" max="4610" width="10.140625" style="79" customWidth="1"/>
    <col min="4611" max="4611" width="30" style="79" customWidth="1"/>
    <col min="4612" max="4613" width="19.7109375" style="79" customWidth="1"/>
    <col min="4614" max="4614" width="14.7109375" style="79" customWidth="1"/>
    <col min="4615" max="4862" width="9.140625" style="79" customWidth="1"/>
    <col min="4863" max="4863" width="10.140625" style="79" customWidth="1"/>
    <col min="4864" max="4864" width="30" style="79"/>
    <col min="4865" max="4866" width="10.140625" style="79" customWidth="1"/>
    <col min="4867" max="4867" width="30" style="79" customWidth="1"/>
    <col min="4868" max="4869" width="19.7109375" style="79" customWidth="1"/>
    <col min="4870" max="4870" width="14.7109375" style="79" customWidth="1"/>
    <col min="4871" max="5118" width="9.140625" style="79" customWidth="1"/>
    <col min="5119" max="5119" width="10.140625" style="79" customWidth="1"/>
    <col min="5120" max="5120" width="30" style="79"/>
    <col min="5121" max="5122" width="10.140625" style="79" customWidth="1"/>
    <col min="5123" max="5123" width="30" style="79" customWidth="1"/>
    <col min="5124" max="5125" width="19.7109375" style="79" customWidth="1"/>
    <col min="5126" max="5126" width="14.7109375" style="79" customWidth="1"/>
    <col min="5127" max="5374" width="9.140625" style="79" customWidth="1"/>
    <col min="5375" max="5375" width="10.140625" style="79" customWidth="1"/>
    <col min="5376" max="5376" width="30" style="79"/>
    <col min="5377" max="5378" width="10.140625" style="79" customWidth="1"/>
    <col min="5379" max="5379" width="30" style="79" customWidth="1"/>
    <col min="5380" max="5381" width="19.7109375" style="79" customWidth="1"/>
    <col min="5382" max="5382" width="14.7109375" style="79" customWidth="1"/>
    <col min="5383" max="5630" width="9.140625" style="79" customWidth="1"/>
    <col min="5631" max="5631" width="10.140625" style="79" customWidth="1"/>
    <col min="5632" max="5632" width="30" style="79"/>
    <col min="5633" max="5634" width="10.140625" style="79" customWidth="1"/>
    <col min="5635" max="5635" width="30" style="79" customWidth="1"/>
    <col min="5636" max="5637" width="19.7109375" style="79" customWidth="1"/>
    <col min="5638" max="5638" width="14.7109375" style="79" customWidth="1"/>
    <col min="5639" max="5886" width="9.140625" style="79" customWidth="1"/>
    <col min="5887" max="5887" width="10.140625" style="79" customWidth="1"/>
    <col min="5888" max="5888" width="30" style="79"/>
    <col min="5889" max="5890" width="10.140625" style="79" customWidth="1"/>
    <col min="5891" max="5891" width="30" style="79" customWidth="1"/>
    <col min="5892" max="5893" width="19.7109375" style="79" customWidth="1"/>
    <col min="5894" max="5894" width="14.7109375" style="79" customWidth="1"/>
    <col min="5895" max="6142" width="9.140625" style="79" customWidth="1"/>
    <col min="6143" max="6143" width="10.140625" style="79" customWidth="1"/>
    <col min="6144" max="6144" width="30" style="79"/>
    <col min="6145" max="6146" width="10.140625" style="79" customWidth="1"/>
    <col min="6147" max="6147" width="30" style="79" customWidth="1"/>
    <col min="6148" max="6149" width="19.7109375" style="79" customWidth="1"/>
    <col min="6150" max="6150" width="14.7109375" style="79" customWidth="1"/>
    <col min="6151" max="6398" width="9.140625" style="79" customWidth="1"/>
    <col min="6399" max="6399" width="10.140625" style="79" customWidth="1"/>
    <col min="6400" max="6400" width="30" style="79"/>
    <col min="6401" max="6402" width="10.140625" style="79" customWidth="1"/>
    <col min="6403" max="6403" width="30" style="79" customWidth="1"/>
    <col min="6404" max="6405" width="19.7109375" style="79" customWidth="1"/>
    <col min="6406" max="6406" width="14.7109375" style="79" customWidth="1"/>
    <col min="6407" max="6654" width="9.140625" style="79" customWidth="1"/>
    <col min="6655" max="6655" width="10.140625" style="79" customWidth="1"/>
    <col min="6656" max="6656" width="30" style="79"/>
    <col min="6657" max="6658" width="10.140625" style="79" customWidth="1"/>
    <col min="6659" max="6659" width="30" style="79" customWidth="1"/>
    <col min="6660" max="6661" width="19.7109375" style="79" customWidth="1"/>
    <col min="6662" max="6662" width="14.7109375" style="79" customWidth="1"/>
    <col min="6663" max="6910" width="9.140625" style="79" customWidth="1"/>
    <col min="6911" max="6911" width="10.140625" style="79" customWidth="1"/>
    <col min="6912" max="6912" width="30" style="79"/>
    <col min="6913" max="6914" width="10.140625" style="79" customWidth="1"/>
    <col min="6915" max="6915" width="30" style="79" customWidth="1"/>
    <col min="6916" max="6917" width="19.7109375" style="79" customWidth="1"/>
    <col min="6918" max="6918" width="14.7109375" style="79" customWidth="1"/>
    <col min="6919" max="7166" width="9.140625" style="79" customWidth="1"/>
    <col min="7167" max="7167" width="10.140625" style="79" customWidth="1"/>
    <col min="7168" max="7168" width="30" style="79"/>
    <col min="7169" max="7170" width="10.140625" style="79" customWidth="1"/>
    <col min="7171" max="7171" width="30" style="79" customWidth="1"/>
    <col min="7172" max="7173" width="19.7109375" style="79" customWidth="1"/>
    <col min="7174" max="7174" width="14.7109375" style="79" customWidth="1"/>
    <col min="7175" max="7422" width="9.140625" style="79" customWidth="1"/>
    <col min="7423" max="7423" width="10.140625" style="79" customWidth="1"/>
    <col min="7424" max="7424" width="30" style="79"/>
    <col min="7425" max="7426" width="10.140625" style="79" customWidth="1"/>
    <col min="7427" max="7427" width="30" style="79" customWidth="1"/>
    <col min="7428" max="7429" width="19.7109375" style="79" customWidth="1"/>
    <col min="7430" max="7430" width="14.7109375" style="79" customWidth="1"/>
    <col min="7431" max="7678" width="9.140625" style="79" customWidth="1"/>
    <col min="7679" max="7679" width="10.140625" style="79" customWidth="1"/>
    <col min="7680" max="7680" width="30" style="79"/>
    <col min="7681" max="7682" width="10.140625" style="79" customWidth="1"/>
    <col min="7683" max="7683" width="30" style="79" customWidth="1"/>
    <col min="7684" max="7685" width="19.7109375" style="79" customWidth="1"/>
    <col min="7686" max="7686" width="14.7109375" style="79" customWidth="1"/>
    <col min="7687" max="7934" width="9.140625" style="79" customWidth="1"/>
    <col min="7935" max="7935" width="10.140625" style="79" customWidth="1"/>
    <col min="7936" max="7936" width="30" style="79"/>
    <col min="7937" max="7938" width="10.140625" style="79" customWidth="1"/>
    <col min="7939" max="7939" width="30" style="79" customWidth="1"/>
    <col min="7940" max="7941" width="19.7109375" style="79" customWidth="1"/>
    <col min="7942" max="7942" width="14.7109375" style="79" customWidth="1"/>
    <col min="7943" max="8190" width="9.140625" style="79" customWidth="1"/>
    <col min="8191" max="8191" width="10.140625" style="79" customWidth="1"/>
    <col min="8192" max="8192" width="30" style="79"/>
    <col min="8193" max="8194" width="10.140625" style="79" customWidth="1"/>
    <col min="8195" max="8195" width="30" style="79" customWidth="1"/>
    <col min="8196" max="8197" width="19.7109375" style="79" customWidth="1"/>
    <col min="8198" max="8198" width="14.7109375" style="79" customWidth="1"/>
    <col min="8199" max="8446" width="9.140625" style="79" customWidth="1"/>
    <col min="8447" max="8447" width="10.140625" style="79" customWidth="1"/>
    <col min="8448" max="8448" width="30" style="79"/>
    <col min="8449" max="8450" width="10.140625" style="79" customWidth="1"/>
    <col min="8451" max="8451" width="30" style="79" customWidth="1"/>
    <col min="8452" max="8453" width="19.7109375" style="79" customWidth="1"/>
    <col min="8454" max="8454" width="14.7109375" style="79" customWidth="1"/>
    <col min="8455" max="8702" width="9.140625" style="79" customWidth="1"/>
    <col min="8703" max="8703" width="10.140625" style="79" customWidth="1"/>
    <col min="8704" max="8704" width="30" style="79"/>
    <col min="8705" max="8706" width="10.140625" style="79" customWidth="1"/>
    <col min="8707" max="8707" width="30" style="79" customWidth="1"/>
    <col min="8708" max="8709" width="19.7109375" style="79" customWidth="1"/>
    <col min="8710" max="8710" width="14.7109375" style="79" customWidth="1"/>
    <col min="8711" max="8958" width="9.140625" style="79" customWidth="1"/>
    <col min="8959" max="8959" width="10.140625" style="79" customWidth="1"/>
    <col min="8960" max="8960" width="30" style="79"/>
    <col min="8961" max="8962" width="10.140625" style="79" customWidth="1"/>
    <col min="8963" max="8963" width="30" style="79" customWidth="1"/>
    <col min="8964" max="8965" width="19.7109375" style="79" customWidth="1"/>
    <col min="8966" max="8966" width="14.7109375" style="79" customWidth="1"/>
    <col min="8967" max="9214" width="9.140625" style="79" customWidth="1"/>
    <col min="9215" max="9215" width="10.140625" style="79" customWidth="1"/>
    <col min="9216" max="9216" width="30" style="79"/>
    <col min="9217" max="9218" width="10.140625" style="79" customWidth="1"/>
    <col min="9219" max="9219" width="30" style="79" customWidth="1"/>
    <col min="9220" max="9221" width="19.7109375" style="79" customWidth="1"/>
    <col min="9222" max="9222" width="14.7109375" style="79" customWidth="1"/>
    <col min="9223" max="9470" width="9.140625" style="79" customWidth="1"/>
    <col min="9471" max="9471" width="10.140625" style="79" customWidth="1"/>
    <col min="9472" max="9472" width="30" style="79"/>
    <col min="9473" max="9474" width="10.140625" style="79" customWidth="1"/>
    <col min="9475" max="9475" width="30" style="79" customWidth="1"/>
    <col min="9476" max="9477" width="19.7109375" style="79" customWidth="1"/>
    <col min="9478" max="9478" width="14.7109375" style="79" customWidth="1"/>
    <col min="9479" max="9726" width="9.140625" style="79" customWidth="1"/>
    <col min="9727" max="9727" width="10.140625" style="79" customWidth="1"/>
    <col min="9728" max="9728" width="30" style="79"/>
    <col min="9729" max="9730" width="10.140625" style="79" customWidth="1"/>
    <col min="9731" max="9731" width="30" style="79" customWidth="1"/>
    <col min="9732" max="9733" width="19.7109375" style="79" customWidth="1"/>
    <col min="9734" max="9734" width="14.7109375" style="79" customWidth="1"/>
    <col min="9735" max="9982" width="9.140625" style="79" customWidth="1"/>
    <col min="9983" max="9983" width="10.140625" style="79" customWidth="1"/>
    <col min="9984" max="9984" width="30" style="79"/>
    <col min="9985" max="9986" width="10.140625" style="79" customWidth="1"/>
    <col min="9987" max="9987" width="30" style="79" customWidth="1"/>
    <col min="9988" max="9989" width="19.7109375" style="79" customWidth="1"/>
    <col min="9990" max="9990" width="14.7109375" style="79" customWidth="1"/>
    <col min="9991" max="10238" width="9.140625" style="79" customWidth="1"/>
    <col min="10239" max="10239" width="10.140625" style="79" customWidth="1"/>
    <col min="10240" max="10240" width="30" style="79"/>
    <col min="10241" max="10242" width="10.140625" style="79" customWidth="1"/>
    <col min="10243" max="10243" width="30" style="79" customWidth="1"/>
    <col min="10244" max="10245" width="19.7109375" style="79" customWidth="1"/>
    <col min="10246" max="10246" width="14.7109375" style="79" customWidth="1"/>
    <col min="10247" max="10494" width="9.140625" style="79" customWidth="1"/>
    <col min="10495" max="10495" width="10.140625" style="79" customWidth="1"/>
    <col min="10496" max="10496" width="30" style="79"/>
    <col min="10497" max="10498" width="10.140625" style="79" customWidth="1"/>
    <col min="10499" max="10499" width="30" style="79" customWidth="1"/>
    <col min="10500" max="10501" width="19.7109375" style="79" customWidth="1"/>
    <col min="10502" max="10502" width="14.7109375" style="79" customWidth="1"/>
    <col min="10503" max="10750" width="9.140625" style="79" customWidth="1"/>
    <col min="10751" max="10751" width="10.140625" style="79" customWidth="1"/>
    <col min="10752" max="10752" width="30" style="79"/>
    <col min="10753" max="10754" width="10.140625" style="79" customWidth="1"/>
    <col min="10755" max="10755" width="30" style="79" customWidth="1"/>
    <col min="10756" max="10757" width="19.7109375" style="79" customWidth="1"/>
    <col min="10758" max="10758" width="14.7109375" style="79" customWidth="1"/>
    <col min="10759" max="11006" width="9.140625" style="79" customWidth="1"/>
    <col min="11007" max="11007" width="10.140625" style="79" customWidth="1"/>
    <col min="11008" max="11008" width="30" style="79"/>
    <col min="11009" max="11010" width="10.140625" style="79" customWidth="1"/>
    <col min="11011" max="11011" width="30" style="79" customWidth="1"/>
    <col min="11012" max="11013" width="19.7109375" style="79" customWidth="1"/>
    <col min="11014" max="11014" width="14.7109375" style="79" customWidth="1"/>
    <col min="11015" max="11262" width="9.140625" style="79" customWidth="1"/>
    <col min="11263" max="11263" width="10.140625" style="79" customWidth="1"/>
    <col min="11264" max="11264" width="30" style="79"/>
    <col min="11265" max="11266" width="10.140625" style="79" customWidth="1"/>
    <col min="11267" max="11267" width="30" style="79" customWidth="1"/>
    <col min="11268" max="11269" width="19.7109375" style="79" customWidth="1"/>
    <col min="11270" max="11270" width="14.7109375" style="79" customWidth="1"/>
    <col min="11271" max="11518" width="9.140625" style="79" customWidth="1"/>
    <col min="11519" max="11519" width="10.140625" style="79" customWidth="1"/>
    <col min="11520" max="11520" width="30" style="79"/>
    <col min="11521" max="11522" width="10.140625" style="79" customWidth="1"/>
    <col min="11523" max="11523" width="30" style="79" customWidth="1"/>
    <col min="11524" max="11525" width="19.7109375" style="79" customWidth="1"/>
    <col min="11526" max="11526" width="14.7109375" style="79" customWidth="1"/>
    <col min="11527" max="11774" width="9.140625" style="79" customWidth="1"/>
    <col min="11775" max="11775" width="10.140625" style="79" customWidth="1"/>
    <col min="11776" max="11776" width="30" style="79"/>
    <col min="11777" max="11778" width="10.140625" style="79" customWidth="1"/>
    <col min="11779" max="11779" width="30" style="79" customWidth="1"/>
    <col min="11780" max="11781" width="19.7109375" style="79" customWidth="1"/>
    <col min="11782" max="11782" width="14.7109375" style="79" customWidth="1"/>
    <col min="11783" max="12030" width="9.140625" style="79" customWidth="1"/>
    <col min="12031" max="12031" width="10.140625" style="79" customWidth="1"/>
    <col min="12032" max="12032" width="30" style="79"/>
    <col min="12033" max="12034" width="10.140625" style="79" customWidth="1"/>
    <col min="12035" max="12035" width="30" style="79" customWidth="1"/>
    <col min="12036" max="12037" width="19.7109375" style="79" customWidth="1"/>
    <col min="12038" max="12038" width="14.7109375" style="79" customWidth="1"/>
    <col min="12039" max="12286" width="9.140625" style="79" customWidth="1"/>
    <col min="12287" max="12287" width="10.140625" style="79" customWidth="1"/>
    <col min="12288" max="12288" width="30" style="79"/>
    <col min="12289" max="12290" width="10.140625" style="79" customWidth="1"/>
    <col min="12291" max="12291" width="30" style="79" customWidth="1"/>
    <col min="12292" max="12293" width="19.7109375" style="79" customWidth="1"/>
    <col min="12294" max="12294" width="14.7109375" style="79" customWidth="1"/>
    <col min="12295" max="12542" width="9.140625" style="79" customWidth="1"/>
    <col min="12543" max="12543" width="10.140625" style="79" customWidth="1"/>
    <col min="12544" max="12544" width="30" style="79"/>
    <col min="12545" max="12546" width="10.140625" style="79" customWidth="1"/>
    <col min="12547" max="12547" width="30" style="79" customWidth="1"/>
    <col min="12548" max="12549" width="19.7109375" style="79" customWidth="1"/>
    <col min="12550" max="12550" width="14.7109375" style="79" customWidth="1"/>
    <col min="12551" max="12798" width="9.140625" style="79" customWidth="1"/>
    <col min="12799" max="12799" width="10.140625" style="79" customWidth="1"/>
    <col min="12800" max="12800" width="30" style="79"/>
    <col min="12801" max="12802" width="10.140625" style="79" customWidth="1"/>
    <col min="12803" max="12803" width="30" style="79" customWidth="1"/>
    <col min="12804" max="12805" width="19.7109375" style="79" customWidth="1"/>
    <col min="12806" max="12806" width="14.7109375" style="79" customWidth="1"/>
    <col min="12807" max="13054" width="9.140625" style="79" customWidth="1"/>
    <col min="13055" max="13055" width="10.140625" style="79" customWidth="1"/>
    <col min="13056" max="13056" width="30" style="79"/>
    <col min="13057" max="13058" width="10.140625" style="79" customWidth="1"/>
    <col min="13059" max="13059" width="30" style="79" customWidth="1"/>
    <col min="13060" max="13061" width="19.7109375" style="79" customWidth="1"/>
    <col min="13062" max="13062" width="14.7109375" style="79" customWidth="1"/>
    <col min="13063" max="13310" width="9.140625" style="79" customWidth="1"/>
    <col min="13311" max="13311" width="10.140625" style="79" customWidth="1"/>
    <col min="13312" max="13312" width="30" style="79"/>
    <col min="13313" max="13314" width="10.140625" style="79" customWidth="1"/>
    <col min="13315" max="13315" width="30" style="79" customWidth="1"/>
    <col min="13316" max="13317" width="19.7109375" style="79" customWidth="1"/>
    <col min="13318" max="13318" width="14.7109375" style="79" customWidth="1"/>
    <col min="13319" max="13566" width="9.140625" style="79" customWidth="1"/>
    <col min="13567" max="13567" width="10.140625" style="79" customWidth="1"/>
    <col min="13568" max="13568" width="30" style="79"/>
    <col min="13569" max="13570" width="10.140625" style="79" customWidth="1"/>
    <col min="13571" max="13571" width="30" style="79" customWidth="1"/>
    <col min="13572" max="13573" width="19.7109375" style="79" customWidth="1"/>
    <col min="13574" max="13574" width="14.7109375" style="79" customWidth="1"/>
    <col min="13575" max="13822" width="9.140625" style="79" customWidth="1"/>
    <col min="13823" max="13823" width="10.140625" style="79" customWidth="1"/>
    <col min="13824" max="13824" width="30" style="79"/>
    <col min="13825" max="13826" width="10.140625" style="79" customWidth="1"/>
    <col min="13827" max="13827" width="30" style="79" customWidth="1"/>
    <col min="13828" max="13829" width="19.7109375" style="79" customWidth="1"/>
    <col min="13830" max="13830" width="14.7109375" style="79" customWidth="1"/>
    <col min="13831" max="14078" width="9.140625" style="79" customWidth="1"/>
    <col min="14079" max="14079" width="10.140625" style="79" customWidth="1"/>
    <col min="14080" max="14080" width="30" style="79"/>
    <col min="14081" max="14082" width="10.140625" style="79" customWidth="1"/>
    <col min="14083" max="14083" width="30" style="79" customWidth="1"/>
    <col min="14084" max="14085" width="19.7109375" style="79" customWidth="1"/>
    <col min="14086" max="14086" width="14.7109375" style="79" customWidth="1"/>
    <col min="14087" max="14334" width="9.140625" style="79" customWidth="1"/>
    <col min="14335" max="14335" width="10.140625" style="79" customWidth="1"/>
    <col min="14336" max="14336" width="30" style="79"/>
    <col min="14337" max="14338" width="10.140625" style="79" customWidth="1"/>
    <col min="14339" max="14339" width="30" style="79" customWidth="1"/>
    <col min="14340" max="14341" width="19.7109375" style="79" customWidth="1"/>
    <col min="14342" max="14342" width="14.7109375" style="79" customWidth="1"/>
    <col min="14343" max="14590" width="9.140625" style="79" customWidth="1"/>
    <col min="14591" max="14591" width="10.140625" style="79" customWidth="1"/>
    <col min="14592" max="14592" width="30" style="79"/>
    <col min="14593" max="14594" width="10.140625" style="79" customWidth="1"/>
    <col min="14595" max="14595" width="30" style="79" customWidth="1"/>
    <col min="14596" max="14597" width="19.7109375" style="79" customWidth="1"/>
    <col min="14598" max="14598" width="14.7109375" style="79" customWidth="1"/>
    <col min="14599" max="14846" width="9.140625" style="79" customWidth="1"/>
    <col min="14847" max="14847" width="10.140625" style="79" customWidth="1"/>
    <col min="14848" max="14848" width="30" style="79"/>
    <col min="14849" max="14850" width="10.140625" style="79" customWidth="1"/>
    <col min="14851" max="14851" width="30" style="79" customWidth="1"/>
    <col min="14852" max="14853" width="19.7109375" style="79" customWidth="1"/>
    <col min="14854" max="14854" width="14.7109375" style="79" customWidth="1"/>
    <col min="14855" max="15102" width="9.140625" style="79" customWidth="1"/>
    <col min="15103" max="15103" width="10.140625" style="79" customWidth="1"/>
    <col min="15104" max="15104" width="30" style="79"/>
    <col min="15105" max="15106" width="10.140625" style="79" customWidth="1"/>
    <col min="15107" max="15107" width="30" style="79" customWidth="1"/>
    <col min="15108" max="15109" width="19.7109375" style="79" customWidth="1"/>
    <col min="15110" max="15110" width="14.7109375" style="79" customWidth="1"/>
    <col min="15111" max="15358" width="9.140625" style="79" customWidth="1"/>
    <col min="15359" max="15359" width="10.140625" style="79" customWidth="1"/>
    <col min="15360" max="15360" width="30" style="79"/>
    <col min="15361" max="15362" width="10.140625" style="79" customWidth="1"/>
    <col min="15363" max="15363" width="30" style="79" customWidth="1"/>
    <col min="15364" max="15365" width="19.7109375" style="79" customWidth="1"/>
    <col min="15366" max="15366" width="14.7109375" style="79" customWidth="1"/>
    <col min="15367" max="15614" width="9.140625" style="79" customWidth="1"/>
    <col min="15615" max="15615" width="10.140625" style="79" customWidth="1"/>
    <col min="15616" max="15616" width="30" style="79"/>
    <col min="15617" max="15618" width="10.140625" style="79" customWidth="1"/>
    <col min="15619" max="15619" width="30" style="79" customWidth="1"/>
    <col min="15620" max="15621" width="19.7109375" style="79" customWidth="1"/>
    <col min="15622" max="15622" width="14.7109375" style="79" customWidth="1"/>
    <col min="15623" max="15870" width="9.140625" style="79" customWidth="1"/>
    <col min="15871" max="15871" width="10.140625" style="79" customWidth="1"/>
    <col min="15872" max="15872" width="30" style="79"/>
    <col min="15873" max="15874" width="10.140625" style="79" customWidth="1"/>
    <col min="15875" max="15875" width="30" style="79" customWidth="1"/>
    <col min="15876" max="15877" width="19.7109375" style="79" customWidth="1"/>
    <col min="15878" max="15878" width="14.7109375" style="79" customWidth="1"/>
    <col min="15879" max="16126" width="9.140625" style="79" customWidth="1"/>
    <col min="16127" max="16127" width="10.140625" style="79" customWidth="1"/>
    <col min="16128" max="16128" width="30" style="79"/>
    <col min="16129" max="16130" width="10.140625" style="79" customWidth="1"/>
    <col min="16131" max="16131" width="30" style="79" customWidth="1"/>
    <col min="16132" max="16133" width="19.7109375" style="79" customWidth="1"/>
    <col min="16134" max="16134" width="14.7109375" style="79" customWidth="1"/>
    <col min="16135" max="16382" width="9.140625" style="79" customWidth="1"/>
    <col min="16383" max="16383" width="10.140625" style="79" customWidth="1"/>
    <col min="16384" max="16384" width="30" style="79"/>
  </cols>
  <sheetData>
    <row r="1" spans="1:6">
      <c r="A1" s="499" t="s">
        <v>55</v>
      </c>
      <c r="B1" s="499"/>
      <c r="C1" s="499"/>
      <c r="D1" s="499"/>
      <c r="E1" s="499"/>
    </row>
    <row r="2" spans="1:6" ht="18">
      <c r="A2" s="500" t="s">
        <v>178</v>
      </c>
      <c r="B2" s="500"/>
      <c r="C2" s="500"/>
      <c r="D2" s="500"/>
      <c r="E2" s="500"/>
    </row>
    <row r="3" spans="1:6" ht="8.25" customHeight="1" thickBot="1">
      <c r="C3" s="80"/>
    </row>
    <row r="4" spans="1:6" ht="28.5" customHeight="1">
      <c r="A4" s="393" t="s">
        <v>819</v>
      </c>
      <c r="B4" s="363"/>
      <c r="C4" s="394"/>
      <c r="D4" s="394"/>
      <c r="E4" s="501"/>
    </row>
    <row r="5" spans="1:6" ht="12.75" customHeight="1">
      <c r="A5" s="502" t="s">
        <v>820</v>
      </c>
      <c r="B5" s="503"/>
      <c r="C5" s="504"/>
      <c r="D5" s="504"/>
      <c r="E5" s="505"/>
    </row>
    <row r="6" spans="1:6">
      <c r="A6" s="506" t="s">
        <v>847</v>
      </c>
      <c r="B6" s="507"/>
      <c r="C6" s="507"/>
      <c r="D6" s="507"/>
      <c r="E6" s="503"/>
    </row>
    <row r="7" spans="1:6" ht="6.75" customHeight="1" thickBot="1">
      <c r="A7" s="81"/>
      <c r="B7" s="81"/>
      <c r="C7" s="81"/>
      <c r="D7" s="81"/>
      <c r="E7" s="81"/>
    </row>
    <row r="8" spans="1:6" ht="18.75" thickBot="1">
      <c r="A8" s="508" t="s">
        <v>179</v>
      </c>
      <c r="B8" s="509"/>
      <c r="C8" s="509"/>
      <c r="D8" s="509"/>
      <c r="E8" s="509"/>
    </row>
    <row r="9" spans="1:6" ht="16.5" thickBot="1">
      <c r="A9" s="82"/>
      <c r="B9" s="82"/>
      <c r="C9" s="510"/>
      <c r="D9" s="510"/>
      <c r="E9" s="83"/>
    </row>
    <row r="10" spans="1:6" ht="13.5" thickBot="1">
      <c r="A10" s="84" t="s">
        <v>180</v>
      </c>
      <c r="B10" s="511" t="s">
        <v>181</v>
      </c>
      <c r="C10" s="512"/>
      <c r="D10" s="513"/>
      <c r="E10" s="85" t="s">
        <v>182</v>
      </c>
    </row>
    <row r="11" spans="1:6" ht="14.25">
      <c r="A11" s="86" t="s">
        <v>183</v>
      </c>
      <c r="B11" s="487" t="s">
        <v>184</v>
      </c>
      <c r="C11" s="488"/>
      <c r="D11" s="489"/>
      <c r="E11" s="87">
        <v>0.04</v>
      </c>
      <c r="F11" s="114">
        <v>4</v>
      </c>
    </row>
    <row r="12" spans="1:6" ht="14.25">
      <c r="A12" s="88" t="s">
        <v>185</v>
      </c>
      <c r="B12" s="487" t="s">
        <v>186</v>
      </c>
      <c r="C12" s="488"/>
      <c r="D12" s="489"/>
      <c r="E12" s="87">
        <v>8.0000000000000002E-3</v>
      </c>
      <c r="F12" s="115">
        <v>0.8</v>
      </c>
    </row>
    <row r="13" spans="1:6" ht="14.25">
      <c r="A13" s="88" t="s">
        <v>187</v>
      </c>
      <c r="B13" s="487" t="s">
        <v>188</v>
      </c>
      <c r="C13" s="488"/>
      <c r="D13" s="489"/>
      <c r="E13" s="87">
        <v>1.2699999999999999E-2</v>
      </c>
      <c r="F13" s="115">
        <v>1.27</v>
      </c>
    </row>
    <row r="14" spans="1:6" ht="14.25">
      <c r="A14" s="88" t="s">
        <v>189</v>
      </c>
      <c r="B14" s="498" t="s">
        <v>190</v>
      </c>
      <c r="C14" s="498"/>
      <c r="D14" s="498"/>
      <c r="E14" s="87">
        <v>1.23E-2</v>
      </c>
      <c r="F14" s="115">
        <v>1.23</v>
      </c>
    </row>
    <row r="15" spans="1:6" ht="15" thickBot="1">
      <c r="A15" s="88" t="s">
        <v>191</v>
      </c>
      <c r="B15" s="484" t="s">
        <v>192</v>
      </c>
      <c r="C15" s="485"/>
      <c r="D15" s="486"/>
      <c r="E15" s="87">
        <v>7.3999999999999996E-2</v>
      </c>
      <c r="F15" s="116">
        <v>7.4</v>
      </c>
    </row>
    <row r="16" spans="1:6">
      <c r="A16" s="88" t="s">
        <v>193</v>
      </c>
      <c r="B16" s="487" t="s">
        <v>194</v>
      </c>
      <c r="C16" s="488"/>
      <c r="D16" s="489"/>
      <c r="E16" s="87">
        <f>SUM(E17:E20)</f>
        <v>6.1499999999999999E-2</v>
      </c>
    </row>
    <row r="17" spans="1:5">
      <c r="A17" s="89"/>
      <c r="B17" s="490" t="s">
        <v>195</v>
      </c>
      <c r="C17" s="491"/>
      <c r="D17" s="492"/>
      <c r="E17" s="90">
        <v>0.03</v>
      </c>
    </row>
    <row r="18" spans="1:5">
      <c r="A18" s="89"/>
      <c r="B18" s="490" t="s">
        <v>196</v>
      </c>
      <c r="C18" s="491"/>
      <c r="D18" s="492"/>
      <c r="E18" s="90">
        <v>6.4999999999999997E-3</v>
      </c>
    </row>
    <row r="19" spans="1:5">
      <c r="A19" s="89"/>
      <c r="B19" s="490" t="s">
        <v>197</v>
      </c>
      <c r="C19" s="491"/>
      <c r="D19" s="492"/>
      <c r="E19" s="90">
        <v>2.5000000000000001E-2</v>
      </c>
    </row>
    <row r="20" spans="1:5">
      <c r="A20" s="89"/>
      <c r="B20" s="490" t="s">
        <v>198</v>
      </c>
      <c r="C20" s="491"/>
      <c r="D20" s="492"/>
      <c r="E20" s="90">
        <v>0</v>
      </c>
    </row>
    <row r="21" spans="1:5">
      <c r="A21" s="91"/>
      <c r="B21" s="92"/>
      <c r="C21" s="92"/>
      <c r="D21" s="93"/>
      <c r="E21" s="94"/>
    </row>
    <row r="22" spans="1:5">
      <c r="A22" s="91"/>
      <c r="B22" s="92"/>
      <c r="C22" s="92"/>
      <c r="D22" s="93"/>
      <c r="E22" s="95"/>
    </row>
    <row r="23" spans="1:5">
      <c r="A23" s="91"/>
      <c r="B23" s="92"/>
      <c r="C23" s="96" t="s">
        <v>199</v>
      </c>
      <c r="D23" s="93"/>
      <c r="E23" s="95"/>
    </row>
    <row r="24" spans="1:5">
      <c r="A24" s="91"/>
      <c r="B24" s="92"/>
      <c r="C24" s="96"/>
      <c r="D24" s="93"/>
      <c r="E24" s="95"/>
    </row>
    <row r="25" spans="1:5">
      <c r="A25" s="97" t="s">
        <v>200</v>
      </c>
      <c r="B25" s="98"/>
      <c r="C25" s="493" t="s">
        <v>201</v>
      </c>
      <c r="D25" s="493"/>
      <c r="E25" s="99">
        <v>-1</v>
      </c>
    </row>
    <row r="26" spans="1:5">
      <c r="A26" s="91"/>
      <c r="B26" s="92"/>
      <c r="C26" s="494" t="s">
        <v>202</v>
      </c>
      <c r="D26" s="494"/>
      <c r="E26" s="99"/>
    </row>
    <row r="27" spans="1:5">
      <c r="A27" s="91"/>
      <c r="B27" s="92"/>
      <c r="C27" s="92"/>
      <c r="D27" s="93"/>
      <c r="E27" s="99"/>
    </row>
    <row r="28" spans="1:5">
      <c r="A28" s="97" t="s">
        <v>200</v>
      </c>
      <c r="B28" s="98"/>
      <c r="C28" s="495">
        <f>(1+E11+E12+E13)*(1+E14)*(1+E15)</f>
        <v>1.15320385914</v>
      </c>
      <c r="D28" s="495"/>
      <c r="E28" s="99">
        <v>-1</v>
      </c>
    </row>
    <row r="29" spans="1:5">
      <c r="A29" s="91"/>
      <c r="B29" s="92"/>
      <c r="C29" s="496">
        <f>(1-E16)</f>
        <v>0.9385</v>
      </c>
      <c r="D29" s="496"/>
      <c r="E29" s="95"/>
    </row>
    <row r="30" spans="1:5">
      <c r="A30" s="91"/>
      <c r="B30" s="92"/>
      <c r="C30" s="92"/>
      <c r="D30" s="93"/>
      <c r="E30" s="95"/>
    </row>
    <row r="31" spans="1:5">
      <c r="A31" s="100" t="s">
        <v>200</v>
      </c>
      <c r="B31" s="101"/>
      <c r="C31" s="497"/>
      <c r="D31" s="497"/>
      <c r="E31" s="102">
        <f>(C28/C29)-1</f>
        <v>0.22877342476291962</v>
      </c>
    </row>
    <row r="32" spans="1:5" ht="13.5" thickBot="1">
      <c r="A32" s="103"/>
      <c r="B32" s="104"/>
      <c r="C32" s="104"/>
      <c r="D32" s="105"/>
      <c r="E32" s="106"/>
    </row>
    <row r="33" spans="1:5">
      <c r="A33" s="469" t="s">
        <v>203</v>
      </c>
      <c r="B33" s="470"/>
      <c r="C33" s="471"/>
      <c r="D33" s="478" t="s">
        <v>105</v>
      </c>
      <c r="E33" s="479"/>
    </row>
    <row r="34" spans="1:5">
      <c r="A34" s="472"/>
      <c r="B34" s="473"/>
      <c r="C34" s="474"/>
      <c r="D34" s="480"/>
      <c r="E34" s="481"/>
    </row>
    <row r="35" spans="1:5">
      <c r="A35" s="472"/>
      <c r="B35" s="473"/>
      <c r="C35" s="474"/>
      <c r="D35" s="480"/>
      <c r="E35" s="481"/>
    </row>
    <row r="36" spans="1:5">
      <c r="A36" s="472"/>
      <c r="B36" s="473"/>
      <c r="C36" s="474"/>
      <c r="D36" s="480"/>
      <c r="E36" s="481"/>
    </row>
    <row r="37" spans="1:5">
      <c r="A37" s="472"/>
      <c r="B37" s="473"/>
      <c r="C37" s="474"/>
      <c r="D37" s="480"/>
      <c r="E37" s="481"/>
    </row>
    <row r="38" spans="1:5" ht="13.5" thickBot="1">
      <c r="A38" s="475"/>
      <c r="B38" s="476"/>
      <c r="C38" s="477"/>
      <c r="D38" s="482"/>
      <c r="E38" s="483"/>
    </row>
  </sheetData>
  <mergeCells count="25">
    <mergeCell ref="B14:D14"/>
    <mergeCell ref="A1:E1"/>
    <mergeCell ref="A2:E2"/>
    <mergeCell ref="A4:E4"/>
    <mergeCell ref="A5:E5"/>
    <mergeCell ref="A6:E6"/>
    <mergeCell ref="A8:E8"/>
    <mergeCell ref="C9:D9"/>
    <mergeCell ref="B10:D10"/>
    <mergeCell ref="B11:D11"/>
    <mergeCell ref="B12:D12"/>
    <mergeCell ref="B13:D13"/>
    <mergeCell ref="A33:C38"/>
    <mergeCell ref="D33:E38"/>
    <mergeCell ref="B15:D15"/>
    <mergeCell ref="B16:D16"/>
    <mergeCell ref="B17:D17"/>
    <mergeCell ref="B18:D18"/>
    <mergeCell ref="B19:D19"/>
    <mergeCell ref="B20:D20"/>
    <mergeCell ref="C25:D25"/>
    <mergeCell ref="C26:D26"/>
    <mergeCell ref="C28:D28"/>
    <mergeCell ref="C29:D29"/>
    <mergeCell ref="C31:D31"/>
  </mergeCells>
  <conditionalFormatting sqref="F11">
    <cfRule type="cellIs" dxfId="9" priority="1" stopIfTrue="1" operator="lessThan">
      <formula>$B$14*100</formula>
    </cfRule>
    <cfRule type="cellIs" dxfId="8" priority="2" stopIfTrue="1" operator="greaterThan">
      <formula>$D$14*100</formula>
    </cfRule>
  </conditionalFormatting>
  <conditionalFormatting sqref="F12">
    <cfRule type="cellIs" dxfId="7" priority="3" stopIfTrue="1" operator="lessThan">
      <formula>$B$15*100</formula>
    </cfRule>
    <cfRule type="cellIs" dxfId="6" priority="4" stopIfTrue="1" operator="greaterThan">
      <formula>$D$15*100</formula>
    </cfRule>
  </conditionalFormatting>
  <conditionalFormatting sqref="F13">
    <cfRule type="cellIs" dxfId="5" priority="5" stopIfTrue="1" operator="lessThan">
      <formula>$B$16*100</formula>
    </cfRule>
    <cfRule type="cellIs" dxfId="4" priority="6" stopIfTrue="1" operator="greaterThan">
      <formula>$D$16*100</formula>
    </cfRule>
  </conditionalFormatting>
  <conditionalFormatting sqref="F14">
    <cfRule type="cellIs" dxfId="3" priority="7" stopIfTrue="1" operator="lessThan">
      <formula>$B$17*100</formula>
    </cfRule>
    <cfRule type="cellIs" dxfId="2" priority="8" stopIfTrue="1" operator="greaterThan">
      <formula>$D$17*100</formula>
    </cfRule>
  </conditionalFormatting>
  <conditionalFormatting sqref="F15">
    <cfRule type="cellIs" dxfId="1" priority="9" stopIfTrue="1" operator="lessThan">
      <formula>$B$18*100</formula>
    </cfRule>
    <cfRule type="cellIs" dxfId="0" priority="10" stopIfTrue="1" operator="greaterThan">
      <formula>$D$18*100</formula>
    </cfRule>
  </conditionalFormatting>
  <printOptions horizontalCentered="1"/>
  <pageMargins left="0.78740157480314965" right="0.19685039370078741" top="0.78740157480314965" bottom="0.39370078740157483" header="0.31496062992125984" footer="0.31496062992125984"/>
  <pageSetup paperSize="9" orientation="portrait" horizontalDpi="360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N55"/>
  <sheetViews>
    <sheetView workbookViewId="0">
      <pane xSplit="1" ySplit="8" topLeftCell="J9" activePane="bottomRight" state="frozen"/>
      <selection pane="topRight" activeCell="B1" sqref="B1"/>
      <selection pane="bottomLeft" activeCell="A9" sqref="A9"/>
      <selection pane="bottomRight" activeCell="AB37" sqref="AB37"/>
    </sheetView>
  </sheetViews>
  <sheetFormatPr defaultRowHeight="12.75"/>
  <cols>
    <col min="1" max="1" width="16.140625" customWidth="1"/>
    <col min="2" max="2" width="7.42578125" customWidth="1"/>
    <col min="3" max="3" width="7.28515625" customWidth="1"/>
    <col min="4" max="4" width="9.140625" customWidth="1"/>
    <col min="5" max="5" width="7.85546875" customWidth="1"/>
    <col min="6" max="6" width="6.85546875" customWidth="1"/>
    <col min="7" max="7" width="7.5703125" customWidth="1"/>
    <col min="8" max="8" width="11.140625" customWidth="1"/>
    <col min="9" max="10" width="13.28515625" customWidth="1"/>
    <col min="11" max="11" width="10.28515625" customWidth="1"/>
    <col min="12" max="12" width="6.5703125" customWidth="1"/>
    <col min="13" max="13" width="7.140625" customWidth="1"/>
    <col min="14" max="14" width="7.42578125" customWidth="1"/>
    <col min="15" max="17" width="7.85546875" customWidth="1"/>
    <col min="18" max="18" width="7.28515625" customWidth="1"/>
    <col min="19" max="19" width="6.85546875" customWidth="1"/>
    <col min="20" max="20" width="6.7109375" customWidth="1"/>
    <col min="21" max="21" width="6.140625" customWidth="1"/>
    <col min="22" max="22" width="9.85546875" customWidth="1"/>
    <col min="23" max="23" width="8.7109375" customWidth="1"/>
    <col min="24" max="25" width="6" customWidth="1"/>
    <col min="26" max="26" width="10.140625" customWidth="1"/>
    <col min="27" max="27" width="7" customWidth="1"/>
    <col min="28" max="28" width="7.28515625" customWidth="1"/>
    <col min="29" max="29" width="10.28515625" customWidth="1"/>
    <col min="30" max="30" width="11.28515625" customWidth="1"/>
    <col min="31" max="32" width="7.28515625" customWidth="1"/>
    <col min="33" max="33" width="8" customWidth="1"/>
    <col min="34" max="34" width="7.28515625" customWidth="1"/>
    <col min="35" max="35" width="7.7109375" customWidth="1"/>
    <col min="36" max="36" width="8.140625" customWidth="1"/>
    <col min="37" max="37" width="10" customWidth="1"/>
    <col min="38" max="38" width="6.42578125" customWidth="1"/>
    <col min="39" max="39" width="6.7109375" customWidth="1"/>
  </cols>
  <sheetData>
    <row r="1" spans="1:40">
      <c r="A1" t="s">
        <v>346</v>
      </c>
      <c r="B1" s="182">
        <v>3.1</v>
      </c>
      <c r="D1" s="514" t="s">
        <v>370</v>
      </c>
      <c r="E1" s="514"/>
      <c r="F1">
        <f>0.2*0.2</f>
        <v>4.0000000000000008E-2</v>
      </c>
      <c r="H1" s="514" t="s">
        <v>383</v>
      </c>
      <c r="I1" s="514"/>
      <c r="J1">
        <f>0.1</f>
        <v>0.1</v>
      </c>
    </row>
    <row r="2" spans="1:40">
      <c r="A2" s="191" t="s">
        <v>347</v>
      </c>
      <c r="B2">
        <v>0.15</v>
      </c>
      <c r="D2" s="514" t="s">
        <v>371</v>
      </c>
      <c r="E2" s="514"/>
      <c r="F2">
        <f>0.1*0.3</f>
        <v>0.03</v>
      </c>
      <c r="H2" s="524" t="s">
        <v>426</v>
      </c>
      <c r="I2" s="514"/>
      <c r="J2">
        <v>3</v>
      </c>
    </row>
    <row r="3" spans="1:40">
      <c r="A3" s="191" t="s">
        <v>350</v>
      </c>
      <c r="B3">
        <v>1.8</v>
      </c>
      <c r="D3" s="514" t="s">
        <v>377</v>
      </c>
      <c r="E3" s="514"/>
      <c r="F3">
        <v>3</v>
      </c>
      <c r="H3" s="524" t="s">
        <v>428</v>
      </c>
      <c r="I3" s="514"/>
      <c r="J3">
        <v>3.85</v>
      </c>
    </row>
    <row r="4" spans="1:40">
      <c r="A4" s="191" t="s">
        <v>363</v>
      </c>
      <c r="B4">
        <f>0.5*0.4</f>
        <v>0.2</v>
      </c>
      <c r="D4" s="514" t="s">
        <v>380</v>
      </c>
      <c r="E4" s="514"/>
      <c r="F4">
        <f>0.2</f>
        <v>0.2</v>
      </c>
      <c r="H4" s="524" t="s">
        <v>555</v>
      </c>
      <c r="I4" s="514"/>
      <c r="J4">
        <v>3.1</v>
      </c>
    </row>
    <row r="5" spans="1:40">
      <c r="A5" s="191" t="s">
        <v>366</v>
      </c>
      <c r="B5">
        <f>0.3*0.4</f>
        <v>0.12</v>
      </c>
      <c r="D5" s="514"/>
      <c r="E5" s="514"/>
    </row>
    <row r="6" spans="1:40" ht="13.5" thickBot="1">
      <c r="A6" s="181"/>
      <c r="B6" s="515" t="s">
        <v>320</v>
      </c>
      <c r="C6" s="515"/>
      <c r="D6" s="515"/>
      <c r="E6" s="515"/>
      <c r="F6" s="515"/>
      <c r="G6" s="515"/>
      <c r="H6" s="515"/>
      <c r="I6" s="515"/>
      <c r="J6" s="515"/>
      <c r="K6" s="515"/>
      <c r="L6" s="515"/>
      <c r="M6" s="515"/>
      <c r="N6" s="515"/>
      <c r="O6" s="515"/>
      <c r="P6" s="515"/>
      <c r="Q6" s="515"/>
      <c r="R6" s="515"/>
      <c r="S6" s="515"/>
      <c r="T6" s="515"/>
      <c r="U6" s="515"/>
      <c r="V6" s="515"/>
      <c r="W6" s="515"/>
      <c r="X6" s="515"/>
      <c r="Y6" s="515"/>
      <c r="Z6" s="515"/>
      <c r="AA6" s="515"/>
      <c r="AB6" s="515"/>
      <c r="AC6" s="515"/>
      <c r="AD6" s="515"/>
      <c r="AE6" s="515"/>
      <c r="AF6" s="515"/>
      <c r="AG6" s="515"/>
      <c r="AH6" s="515"/>
      <c r="AI6" s="515"/>
      <c r="AJ6" s="515"/>
      <c r="AK6" s="515"/>
      <c r="AL6" s="515"/>
      <c r="AM6" s="515"/>
    </row>
    <row r="7" spans="1:40" ht="44.25" customHeight="1" thickBot="1">
      <c r="A7" s="183"/>
      <c r="B7" s="516" t="s">
        <v>329</v>
      </c>
      <c r="C7" s="517"/>
      <c r="D7" s="518" t="s">
        <v>348</v>
      </c>
      <c r="E7" s="517"/>
      <c r="F7" s="518" t="s">
        <v>349</v>
      </c>
      <c r="G7" s="517"/>
      <c r="H7" s="198" t="s">
        <v>351</v>
      </c>
      <c r="I7" s="198" t="s">
        <v>358</v>
      </c>
      <c r="J7" s="198" t="s">
        <v>359</v>
      </c>
      <c r="K7" s="193" t="s">
        <v>355</v>
      </c>
      <c r="L7" s="519" t="s">
        <v>364</v>
      </c>
      <c r="M7" s="520"/>
      <c r="N7" s="519" t="s">
        <v>365</v>
      </c>
      <c r="O7" s="520"/>
      <c r="P7" s="519" t="s">
        <v>367</v>
      </c>
      <c r="Q7" s="521"/>
      <c r="R7" s="518" t="s">
        <v>381</v>
      </c>
      <c r="S7" s="523"/>
      <c r="T7" s="518" t="s">
        <v>382</v>
      </c>
      <c r="U7" s="522"/>
      <c r="V7" s="207" t="s">
        <v>368</v>
      </c>
      <c r="W7" s="193" t="s">
        <v>369</v>
      </c>
      <c r="X7" s="518" t="s">
        <v>372</v>
      </c>
      <c r="Y7" s="522"/>
      <c r="Z7" s="193" t="s">
        <v>375</v>
      </c>
      <c r="AA7" s="518" t="s">
        <v>376</v>
      </c>
      <c r="AB7" s="522"/>
      <c r="AC7" s="198" t="s">
        <v>378</v>
      </c>
      <c r="AD7" s="198" t="s">
        <v>402</v>
      </c>
      <c r="AE7" s="198" t="s">
        <v>403</v>
      </c>
      <c r="AF7" s="226" t="s">
        <v>404</v>
      </c>
      <c r="AG7" s="518" t="s">
        <v>425</v>
      </c>
      <c r="AH7" s="523"/>
      <c r="AI7" s="518" t="s">
        <v>427</v>
      </c>
      <c r="AJ7" s="522"/>
      <c r="AK7" s="198" t="s">
        <v>58</v>
      </c>
      <c r="AL7" s="518" t="s">
        <v>554</v>
      </c>
      <c r="AM7" s="522"/>
      <c r="AN7" s="258" t="s">
        <v>557</v>
      </c>
    </row>
    <row r="8" spans="1:40">
      <c r="A8" s="183"/>
      <c r="B8" s="185" t="s">
        <v>191</v>
      </c>
      <c r="C8" s="194" t="s">
        <v>237</v>
      </c>
      <c r="D8" s="195" t="s">
        <v>224</v>
      </c>
      <c r="E8" s="196" t="s">
        <v>237</v>
      </c>
      <c r="F8" s="197"/>
      <c r="G8" s="194"/>
      <c r="H8" s="199"/>
      <c r="I8" s="199"/>
      <c r="J8" s="199"/>
      <c r="K8" s="213"/>
      <c r="L8" s="197" t="s">
        <v>191</v>
      </c>
      <c r="M8" s="194" t="s">
        <v>237</v>
      </c>
      <c r="N8" s="197" t="s">
        <v>191</v>
      </c>
      <c r="O8" s="194" t="s">
        <v>237</v>
      </c>
      <c r="P8" s="197" t="s">
        <v>191</v>
      </c>
      <c r="Q8" s="223" t="s">
        <v>237</v>
      </c>
      <c r="R8" s="197" t="s">
        <v>224</v>
      </c>
      <c r="S8" s="223" t="s">
        <v>237</v>
      </c>
      <c r="T8" s="197" t="s">
        <v>224</v>
      </c>
      <c r="U8" s="194" t="s">
        <v>237</v>
      </c>
      <c r="V8" s="208"/>
      <c r="W8" s="213"/>
      <c r="X8" s="197" t="s">
        <v>191</v>
      </c>
      <c r="Y8" s="194" t="s">
        <v>237</v>
      </c>
      <c r="Z8" s="213"/>
      <c r="AA8" s="197" t="s">
        <v>191</v>
      </c>
      <c r="AB8" s="194" t="s">
        <v>237</v>
      </c>
      <c r="AC8" s="199"/>
      <c r="AD8" s="199"/>
      <c r="AE8" s="199"/>
      <c r="AF8" s="213"/>
      <c r="AG8" s="197" t="s">
        <v>191</v>
      </c>
      <c r="AH8" s="223" t="s">
        <v>237</v>
      </c>
      <c r="AI8" s="197" t="s">
        <v>191</v>
      </c>
      <c r="AJ8" s="194" t="s">
        <v>237</v>
      </c>
      <c r="AK8" s="199"/>
      <c r="AL8" s="197" t="s">
        <v>191</v>
      </c>
      <c r="AM8" s="223" t="s">
        <v>237</v>
      </c>
      <c r="AN8" s="259"/>
    </row>
    <row r="9" spans="1:40" ht="5.25" customHeight="1">
      <c r="A9" s="183"/>
      <c r="B9" s="185"/>
      <c r="C9" s="186"/>
      <c r="D9" s="187"/>
      <c r="E9" s="186"/>
      <c r="F9" s="187"/>
      <c r="G9" s="186"/>
      <c r="H9" s="200"/>
      <c r="I9" s="200"/>
      <c r="J9" s="200"/>
      <c r="K9" s="214"/>
      <c r="L9" s="187"/>
      <c r="M9" s="186"/>
      <c r="N9" s="187"/>
      <c r="O9" s="186"/>
      <c r="P9" s="187"/>
      <c r="Q9" s="183"/>
      <c r="R9" s="187"/>
      <c r="S9" s="183"/>
      <c r="T9" s="200"/>
      <c r="U9" s="209"/>
      <c r="V9" s="209"/>
      <c r="W9" s="214"/>
      <c r="X9" s="214"/>
      <c r="Y9" s="209"/>
      <c r="Z9" s="214"/>
      <c r="AA9" s="214"/>
      <c r="AB9" s="209"/>
      <c r="AC9" s="200"/>
      <c r="AD9" s="200"/>
      <c r="AE9" s="200"/>
      <c r="AF9" s="214"/>
      <c r="AG9" s="187"/>
      <c r="AH9" s="212"/>
      <c r="AI9" s="214"/>
      <c r="AJ9" s="209"/>
      <c r="AK9" s="200"/>
      <c r="AL9" s="214"/>
      <c r="AM9" s="212"/>
      <c r="AN9" s="200"/>
    </row>
    <row r="10" spans="1:40">
      <c r="A10" s="183" t="s">
        <v>330</v>
      </c>
      <c r="B10" s="188"/>
      <c r="C10" s="189">
        <f>B10*$B$1*$B$2</f>
        <v>0</v>
      </c>
      <c r="D10" s="188"/>
      <c r="E10" s="189">
        <f>D10*1</f>
        <v>0</v>
      </c>
      <c r="F10" s="188"/>
      <c r="G10" s="189">
        <f>F10*$B$1</f>
        <v>0</v>
      </c>
      <c r="H10" s="201"/>
      <c r="I10" s="201"/>
      <c r="J10" s="201"/>
      <c r="K10" s="214"/>
      <c r="L10" s="187"/>
      <c r="M10" s="189">
        <f t="shared" ref="M10:M33" si="0">L10*$B$4</f>
        <v>0</v>
      </c>
      <c r="N10" s="187"/>
      <c r="O10" s="189">
        <f>N10*$B$5</f>
        <v>0</v>
      </c>
      <c r="P10" s="187"/>
      <c r="Q10" s="224">
        <f>P10*$F$1</f>
        <v>0</v>
      </c>
      <c r="R10" s="188"/>
      <c r="S10" s="224">
        <f>R10*$F$4</f>
        <v>0</v>
      </c>
      <c r="T10" s="188"/>
      <c r="U10" s="189"/>
      <c r="V10" s="210"/>
      <c r="W10" s="219"/>
      <c r="X10" s="188"/>
      <c r="Y10" s="189">
        <f>X10*$F$2</f>
        <v>0</v>
      </c>
      <c r="Z10" s="219"/>
      <c r="AA10" s="188"/>
      <c r="AB10" s="189">
        <f>AA10*$F$3</f>
        <v>0</v>
      </c>
      <c r="AC10" s="201"/>
      <c r="AD10" s="201"/>
      <c r="AE10" s="201"/>
      <c r="AF10" s="219"/>
      <c r="AG10" s="188"/>
      <c r="AH10" s="218"/>
      <c r="AI10" s="188"/>
      <c r="AJ10" s="189">
        <f>AI10*$J$3</f>
        <v>0</v>
      </c>
      <c r="AK10" s="201"/>
      <c r="AL10" s="219"/>
      <c r="AM10" s="183">
        <f>AL10*$J$4</f>
        <v>0</v>
      </c>
      <c r="AN10" s="200"/>
    </row>
    <row r="11" spans="1:40">
      <c r="A11" s="183" t="s">
        <v>331</v>
      </c>
      <c r="B11" s="188"/>
      <c r="C11" s="189">
        <f t="shared" ref="C11:C33" si="1">B11*$B$1*$B$2</f>
        <v>0</v>
      </c>
      <c r="D11" s="188"/>
      <c r="E11" s="189">
        <f t="shared" ref="E11:E33" si="2">D11*1</f>
        <v>0</v>
      </c>
      <c r="F11" s="188"/>
      <c r="G11" s="189">
        <f t="shared" ref="G11:G33" si="3">F11*$B$1</f>
        <v>0</v>
      </c>
      <c r="H11" s="201"/>
      <c r="I11" s="201"/>
      <c r="J11" s="201"/>
      <c r="K11" s="214"/>
      <c r="L11" s="187"/>
      <c r="M11" s="189">
        <f t="shared" si="0"/>
        <v>0</v>
      </c>
      <c r="N11" s="187"/>
      <c r="O11" s="189">
        <f t="shared" ref="O11:O33" si="4">N11*$B$5</f>
        <v>0</v>
      </c>
      <c r="P11" s="187"/>
      <c r="Q11" s="224">
        <f t="shared" ref="Q11:Q33" si="5">P11*$F$1</f>
        <v>0</v>
      </c>
      <c r="R11" s="188"/>
      <c r="S11" s="224">
        <f t="shared" ref="S11:S33" si="6">R11*$F$4</f>
        <v>0</v>
      </c>
      <c r="T11" s="188"/>
      <c r="U11" s="189"/>
      <c r="V11" s="210"/>
      <c r="W11" s="219"/>
      <c r="X11" s="188"/>
      <c r="Y11" s="189">
        <f t="shared" ref="Y11:Y33" si="7">X11*$F$2</f>
        <v>0</v>
      </c>
      <c r="Z11" s="219"/>
      <c r="AA11" s="188"/>
      <c r="AB11" s="189">
        <f t="shared" ref="AB11:AB33" si="8">AA11*$F$3</f>
        <v>0</v>
      </c>
      <c r="AC11" s="201"/>
      <c r="AD11" s="201"/>
      <c r="AE11" s="201"/>
      <c r="AF11" s="219"/>
      <c r="AG11" s="188"/>
      <c r="AH11" s="218"/>
      <c r="AI11" s="188"/>
      <c r="AJ11" s="189">
        <f t="shared" ref="AJ11:AJ35" si="9">AI11*$J$3</f>
        <v>0</v>
      </c>
      <c r="AK11" s="201"/>
      <c r="AL11" s="219"/>
      <c r="AM11" s="183">
        <f t="shared" ref="AM11:AM34" si="10">AL11*$J$4</f>
        <v>0</v>
      </c>
      <c r="AN11" s="200"/>
    </row>
    <row r="12" spans="1:40">
      <c r="A12" s="183" t="s">
        <v>265</v>
      </c>
      <c r="B12" s="188"/>
      <c r="C12" s="189">
        <f t="shared" si="1"/>
        <v>0</v>
      </c>
      <c r="D12" s="188"/>
      <c r="E12" s="189">
        <f t="shared" si="2"/>
        <v>0</v>
      </c>
      <c r="F12" s="188"/>
      <c r="G12" s="189">
        <f t="shared" si="3"/>
        <v>0</v>
      </c>
      <c r="H12" s="201"/>
      <c r="I12" s="201"/>
      <c r="J12" s="201"/>
      <c r="K12" s="214"/>
      <c r="L12" s="187"/>
      <c r="M12" s="189">
        <f t="shared" si="0"/>
        <v>0</v>
      </c>
      <c r="N12" s="187"/>
      <c r="O12" s="189">
        <f t="shared" si="4"/>
        <v>0</v>
      </c>
      <c r="P12" s="187"/>
      <c r="Q12" s="224">
        <f t="shared" si="5"/>
        <v>0</v>
      </c>
      <c r="R12" s="188"/>
      <c r="S12" s="224">
        <f t="shared" si="6"/>
        <v>0</v>
      </c>
      <c r="T12" s="188"/>
      <c r="U12" s="189"/>
      <c r="V12" s="210"/>
      <c r="W12" s="219"/>
      <c r="X12" s="188"/>
      <c r="Y12" s="189">
        <f t="shared" si="7"/>
        <v>0</v>
      </c>
      <c r="Z12" s="219"/>
      <c r="AA12" s="188"/>
      <c r="AB12" s="189">
        <f t="shared" si="8"/>
        <v>0</v>
      </c>
      <c r="AC12" s="201"/>
      <c r="AD12" s="201"/>
      <c r="AE12" s="201"/>
      <c r="AF12" s="219"/>
      <c r="AG12" s="188"/>
      <c r="AH12" s="218"/>
      <c r="AI12" s="188"/>
      <c r="AJ12" s="189">
        <f t="shared" si="9"/>
        <v>0</v>
      </c>
      <c r="AK12" s="201"/>
      <c r="AL12" s="219"/>
      <c r="AM12" s="183">
        <f t="shared" si="10"/>
        <v>0</v>
      </c>
      <c r="AN12" s="200"/>
    </row>
    <row r="13" spans="1:40">
      <c r="A13" s="183" t="s">
        <v>332</v>
      </c>
      <c r="B13" s="188"/>
      <c r="C13" s="189">
        <f t="shared" si="1"/>
        <v>0</v>
      </c>
      <c r="D13" s="188"/>
      <c r="E13" s="189">
        <f t="shared" si="2"/>
        <v>0</v>
      </c>
      <c r="F13" s="188"/>
      <c r="G13" s="189">
        <f t="shared" si="3"/>
        <v>0</v>
      </c>
      <c r="H13" s="201"/>
      <c r="I13" s="201"/>
      <c r="J13" s="201"/>
      <c r="K13" s="214"/>
      <c r="L13" s="187"/>
      <c r="M13" s="189">
        <f t="shared" si="0"/>
        <v>0</v>
      </c>
      <c r="N13" s="187"/>
      <c r="O13" s="189">
        <f t="shared" si="4"/>
        <v>0</v>
      </c>
      <c r="P13" s="187"/>
      <c r="Q13" s="224">
        <f t="shared" si="5"/>
        <v>0</v>
      </c>
      <c r="R13" s="188"/>
      <c r="S13" s="224">
        <f t="shared" si="6"/>
        <v>0</v>
      </c>
      <c r="T13" s="188"/>
      <c r="U13" s="189"/>
      <c r="V13" s="210"/>
      <c r="W13" s="219"/>
      <c r="X13" s="188"/>
      <c r="Y13" s="189">
        <f t="shared" si="7"/>
        <v>0</v>
      </c>
      <c r="Z13" s="219"/>
      <c r="AA13" s="188"/>
      <c r="AB13" s="189">
        <f t="shared" si="8"/>
        <v>0</v>
      </c>
      <c r="AC13" s="201"/>
      <c r="AD13" s="201"/>
      <c r="AE13" s="201"/>
      <c r="AF13" s="219"/>
      <c r="AG13" s="188"/>
      <c r="AH13" s="218"/>
      <c r="AI13" s="188"/>
      <c r="AJ13" s="189">
        <f t="shared" si="9"/>
        <v>0</v>
      </c>
      <c r="AK13" s="201"/>
      <c r="AL13" s="219"/>
      <c r="AM13" s="183">
        <f t="shared" si="10"/>
        <v>0</v>
      </c>
      <c r="AN13" s="200"/>
    </row>
    <row r="14" spans="1:40">
      <c r="A14" s="183" t="s">
        <v>264</v>
      </c>
      <c r="B14" s="188"/>
      <c r="C14" s="189">
        <f t="shared" si="1"/>
        <v>0</v>
      </c>
      <c r="D14" s="188"/>
      <c r="E14" s="189">
        <f t="shared" si="2"/>
        <v>0</v>
      </c>
      <c r="F14" s="188"/>
      <c r="G14" s="189">
        <f t="shared" si="3"/>
        <v>0</v>
      </c>
      <c r="H14" s="201"/>
      <c r="I14" s="201"/>
      <c r="J14" s="201"/>
      <c r="K14" s="214"/>
      <c r="L14" s="187"/>
      <c r="M14" s="189">
        <f t="shared" si="0"/>
        <v>0</v>
      </c>
      <c r="N14" s="187"/>
      <c r="O14" s="189">
        <f t="shared" si="4"/>
        <v>0</v>
      </c>
      <c r="P14" s="187"/>
      <c r="Q14" s="224">
        <f t="shared" si="5"/>
        <v>0</v>
      </c>
      <c r="R14" s="188"/>
      <c r="S14" s="224">
        <f t="shared" si="6"/>
        <v>0</v>
      </c>
      <c r="T14" s="188"/>
      <c r="U14" s="189"/>
      <c r="V14" s="210"/>
      <c r="W14" s="219"/>
      <c r="X14" s="188"/>
      <c r="Y14" s="189">
        <f t="shared" si="7"/>
        <v>0</v>
      </c>
      <c r="Z14" s="219"/>
      <c r="AA14" s="188"/>
      <c r="AB14" s="189">
        <f t="shared" si="8"/>
        <v>0</v>
      </c>
      <c r="AC14" s="201"/>
      <c r="AD14" s="201"/>
      <c r="AE14" s="201"/>
      <c r="AF14" s="219"/>
      <c r="AG14" s="188"/>
      <c r="AH14" s="218"/>
      <c r="AI14" s="188"/>
      <c r="AJ14" s="189">
        <f t="shared" si="9"/>
        <v>0</v>
      </c>
      <c r="AK14" s="201"/>
      <c r="AL14" s="219"/>
      <c r="AM14" s="183">
        <f t="shared" si="10"/>
        <v>0</v>
      </c>
      <c r="AN14" s="200"/>
    </row>
    <row r="15" spans="1:40">
      <c r="A15" s="183" t="s">
        <v>333</v>
      </c>
      <c r="B15" s="188"/>
      <c r="C15" s="189">
        <f t="shared" si="1"/>
        <v>0</v>
      </c>
      <c r="D15" s="188"/>
      <c r="E15" s="189">
        <f t="shared" si="2"/>
        <v>0</v>
      </c>
      <c r="F15" s="188"/>
      <c r="G15" s="189">
        <f t="shared" si="3"/>
        <v>0</v>
      </c>
      <c r="H15" s="201"/>
      <c r="I15" s="201"/>
      <c r="J15" s="201"/>
      <c r="K15" s="214"/>
      <c r="L15" s="187"/>
      <c r="M15" s="189">
        <f t="shared" si="0"/>
        <v>0</v>
      </c>
      <c r="N15" s="187"/>
      <c r="O15" s="189">
        <f t="shared" si="4"/>
        <v>0</v>
      </c>
      <c r="P15" s="187"/>
      <c r="Q15" s="224">
        <f t="shared" si="5"/>
        <v>0</v>
      </c>
      <c r="R15" s="188"/>
      <c r="S15" s="224">
        <f t="shared" si="6"/>
        <v>0</v>
      </c>
      <c r="T15" s="188"/>
      <c r="U15" s="189"/>
      <c r="V15" s="210"/>
      <c r="W15" s="219"/>
      <c r="X15" s="188"/>
      <c r="Y15" s="189">
        <f t="shared" si="7"/>
        <v>0</v>
      </c>
      <c r="Z15" s="219"/>
      <c r="AA15" s="188"/>
      <c r="AB15" s="189">
        <f t="shared" si="8"/>
        <v>0</v>
      </c>
      <c r="AC15" s="201"/>
      <c r="AD15" s="201"/>
      <c r="AE15" s="201"/>
      <c r="AF15" s="219"/>
      <c r="AG15" s="188"/>
      <c r="AH15" s="218">
        <f>AG15*$J$2</f>
        <v>0</v>
      </c>
      <c r="AI15" s="188"/>
      <c r="AJ15" s="189">
        <f t="shared" si="9"/>
        <v>0</v>
      </c>
      <c r="AK15" s="201"/>
      <c r="AL15" s="219"/>
      <c r="AM15" s="183">
        <f t="shared" si="10"/>
        <v>0</v>
      </c>
      <c r="AN15" s="200"/>
    </row>
    <row r="16" spans="1:40">
      <c r="A16" s="183" t="s">
        <v>334</v>
      </c>
      <c r="B16" s="188"/>
      <c r="C16" s="189">
        <f t="shared" si="1"/>
        <v>0</v>
      </c>
      <c r="D16" s="188"/>
      <c r="E16" s="189">
        <f t="shared" si="2"/>
        <v>0</v>
      </c>
      <c r="F16" s="188"/>
      <c r="G16" s="189">
        <f t="shared" si="3"/>
        <v>0</v>
      </c>
      <c r="H16" s="201"/>
      <c r="I16" s="201"/>
      <c r="J16" s="201"/>
      <c r="K16" s="214"/>
      <c r="L16" s="187"/>
      <c r="M16" s="189">
        <f t="shared" si="0"/>
        <v>0</v>
      </c>
      <c r="N16" s="187"/>
      <c r="O16" s="189">
        <f t="shared" si="4"/>
        <v>0</v>
      </c>
      <c r="P16" s="187"/>
      <c r="Q16" s="224">
        <f t="shared" si="5"/>
        <v>0</v>
      </c>
      <c r="R16" s="188"/>
      <c r="S16" s="224">
        <f t="shared" si="6"/>
        <v>0</v>
      </c>
      <c r="T16" s="188"/>
      <c r="U16" s="189"/>
      <c r="V16" s="210"/>
      <c r="W16" s="219"/>
      <c r="X16" s="188"/>
      <c r="Y16" s="189">
        <f t="shared" si="7"/>
        <v>0</v>
      </c>
      <c r="Z16" s="219"/>
      <c r="AA16" s="188"/>
      <c r="AB16" s="189">
        <f t="shared" si="8"/>
        <v>0</v>
      </c>
      <c r="AC16" s="201"/>
      <c r="AD16" s="201"/>
      <c r="AE16" s="201"/>
      <c r="AF16" s="219"/>
      <c r="AG16" s="188"/>
      <c r="AH16" s="218">
        <f t="shared" ref="AH16:AH33" si="11">AG16*$J$2</f>
        <v>0</v>
      </c>
      <c r="AI16" s="188"/>
      <c r="AJ16" s="189">
        <f t="shared" si="9"/>
        <v>0</v>
      </c>
      <c r="AK16" s="201"/>
      <c r="AL16" s="219"/>
      <c r="AM16" s="183">
        <f t="shared" si="10"/>
        <v>0</v>
      </c>
      <c r="AN16" s="200"/>
    </row>
    <row r="17" spans="1:40">
      <c r="A17" s="183" t="s">
        <v>223</v>
      </c>
      <c r="B17" s="188"/>
      <c r="C17" s="189">
        <f t="shared" si="1"/>
        <v>0</v>
      </c>
      <c r="D17" s="188"/>
      <c r="E17" s="189">
        <f t="shared" si="2"/>
        <v>0</v>
      </c>
      <c r="F17" s="188"/>
      <c r="G17" s="189">
        <f t="shared" si="3"/>
        <v>0</v>
      </c>
      <c r="H17" s="201"/>
      <c r="I17" s="201"/>
      <c r="J17" s="201"/>
      <c r="K17" s="214"/>
      <c r="L17" s="187"/>
      <c r="M17" s="189">
        <f t="shared" si="0"/>
        <v>0</v>
      </c>
      <c r="N17" s="187"/>
      <c r="O17" s="189">
        <f t="shared" si="4"/>
        <v>0</v>
      </c>
      <c r="P17" s="187"/>
      <c r="Q17" s="224">
        <f t="shared" si="5"/>
        <v>0</v>
      </c>
      <c r="R17" s="188"/>
      <c r="S17" s="224">
        <f t="shared" si="6"/>
        <v>0</v>
      </c>
      <c r="T17" s="188"/>
      <c r="U17" s="189"/>
      <c r="V17" s="210"/>
      <c r="W17" s="219"/>
      <c r="X17" s="188"/>
      <c r="Y17" s="189">
        <f t="shared" si="7"/>
        <v>0</v>
      </c>
      <c r="Z17" s="219"/>
      <c r="AA17" s="188"/>
      <c r="AB17" s="189">
        <f t="shared" si="8"/>
        <v>0</v>
      </c>
      <c r="AC17" s="201"/>
      <c r="AD17" s="201"/>
      <c r="AE17" s="201"/>
      <c r="AF17" s="219"/>
      <c r="AG17" s="188"/>
      <c r="AH17" s="218">
        <f t="shared" si="11"/>
        <v>0</v>
      </c>
      <c r="AI17" s="188"/>
      <c r="AJ17" s="189">
        <f t="shared" si="9"/>
        <v>0</v>
      </c>
      <c r="AK17" s="201"/>
      <c r="AL17" s="219"/>
      <c r="AM17" s="183">
        <f t="shared" si="10"/>
        <v>0</v>
      </c>
      <c r="AN17" s="200"/>
    </row>
    <row r="18" spans="1:40">
      <c r="A18" s="183" t="s">
        <v>335</v>
      </c>
      <c r="B18" s="188">
        <f>1.24+1.24</f>
        <v>2.48</v>
      </c>
      <c r="C18" s="189">
        <f t="shared" si="1"/>
        <v>1.1532</v>
      </c>
      <c r="D18" s="188">
        <v>5.18</v>
      </c>
      <c r="E18" s="189">
        <f t="shared" si="2"/>
        <v>5.18</v>
      </c>
      <c r="F18" s="188"/>
      <c r="G18" s="189">
        <f t="shared" si="3"/>
        <v>0</v>
      </c>
      <c r="H18" s="201"/>
      <c r="I18" s="201"/>
      <c r="J18" s="201"/>
      <c r="K18" s="214"/>
      <c r="L18" s="187"/>
      <c r="M18" s="189">
        <f t="shared" si="0"/>
        <v>0</v>
      </c>
      <c r="N18" s="187"/>
      <c r="O18" s="189">
        <f t="shared" si="4"/>
        <v>0</v>
      </c>
      <c r="P18" s="187"/>
      <c r="Q18" s="224">
        <f t="shared" si="5"/>
        <v>0</v>
      </c>
      <c r="R18" s="188"/>
      <c r="S18" s="224">
        <f t="shared" si="6"/>
        <v>0</v>
      </c>
      <c r="T18" s="188"/>
      <c r="U18" s="189">
        <f>T18*$J$1</f>
        <v>0</v>
      </c>
      <c r="V18" s="210"/>
      <c r="W18" s="219"/>
      <c r="X18" s="188"/>
      <c r="Y18" s="189">
        <f t="shared" si="7"/>
        <v>0</v>
      </c>
      <c r="Z18" s="219"/>
      <c r="AA18" s="188"/>
      <c r="AB18" s="189">
        <f t="shared" si="8"/>
        <v>0</v>
      </c>
      <c r="AC18" s="201"/>
      <c r="AD18" s="201"/>
      <c r="AE18" s="201"/>
      <c r="AF18" s="219"/>
      <c r="AG18" s="188"/>
      <c r="AH18" s="218">
        <f t="shared" si="11"/>
        <v>0</v>
      </c>
      <c r="AI18" s="188"/>
      <c r="AJ18" s="189">
        <f t="shared" si="9"/>
        <v>0</v>
      </c>
      <c r="AK18" s="201"/>
      <c r="AL18" s="219"/>
      <c r="AM18" s="183">
        <f t="shared" si="10"/>
        <v>0</v>
      </c>
      <c r="AN18" s="200"/>
    </row>
    <row r="19" spans="1:40">
      <c r="A19" s="240" t="s">
        <v>429</v>
      </c>
      <c r="B19" s="188"/>
      <c r="C19" s="189">
        <f t="shared" si="1"/>
        <v>0</v>
      </c>
      <c r="D19" s="188"/>
      <c r="E19" s="189">
        <f t="shared" si="2"/>
        <v>0</v>
      </c>
      <c r="F19" s="188"/>
      <c r="G19" s="189">
        <f t="shared" si="3"/>
        <v>0</v>
      </c>
      <c r="H19" s="201"/>
      <c r="I19" s="201"/>
      <c r="J19" s="201"/>
      <c r="K19" s="214"/>
      <c r="L19" s="187"/>
      <c r="M19" s="189">
        <f t="shared" si="0"/>
        <v>0</v>
      </c>
      <c r="N19" s="187"/>
      <c r="O19" s="189">
        <f t="shared" si="4"/>
        <v>0</v>
      </c>
      <c r="P19" s="187"/>
      <c r="Q19" s="224">
        <f t="shared" si="5"/>
        <v>0</v>
      </c>
      <c r="R19" s="188"/>
      <c r="S19" s="224">
        <f t="shared" si="6"/>
        <v>0</v>
      </c>
      <c r="T19" s="188"/>
      <c r="U19" s="189">
        <f t="shared" ref="U19:U33" si="12">T19*$J$1</f>
        <v>0</v>
      </c>
      <c r="V19" s="210"/>
      <c r="W19" s="219"/>
      <c r="X19" s="188"/>
      <c r="Y19" s="189">
        <f t="shared" si="7"/>
        <v>0</v>
      </c>
      <c r="Z19" s="219"/>
      <c r="AA19" s="188"/>
      <c r="AB19" s="189">
        <f t="shared" si="8"/>
        <v>0</v>
      </c>
      <c r="AC19" s="201"/>
      <c r="AD19" s="201"/>
      <c r="AE19" s="201"/>
      <c r="AF19" s="219"/>
      <c r="AG19" s="188"/>
      <c r="AH19" s="218">
        <f t="shared" si="11"/>
        <v>0</v>
      </c>
      <c r="AI19" s="188"/>
      <c r="AJ19" s="189">
        <f t="shared" si="9"/>
        <v>0</v>
      </c>
      <c r="AK19" s="201">
        <v>6.91</v>
      </c>
      <c r="AL19" s="219">
        <f>10.84</f>
        <v>10.84</v>
      </c>
      <c r="AM19" s="183">
        <v>32.520000000000003</v>
      </c>
      <c r="AN19" s="200"/>
    </row>
    <row r="20" spans="1:40" ht="30" customHeight="1">
      <c r="A20" s="184" t="s">
        <v>336</v>
      </c>
      <c r="B20" s="188">
        <v>4</v>
      </c>
      <c r="C20" s="189">
        <f t="shared" si="1"/>
        <v>1.8599999999999999</v>
      </c>
      <c r="D20" s="188">
        <v>11.28</v>
      </c>
      <c r="E20" s="189">
        <f t="shared" si="2"/>
        <v>11.28</v>
      </c>
      <c r="F20" s="188"/>
      <c r="G20" s="189">
        <f t="shared" si="3"/>
        <v>0</v>
      </c>
      <c r="H20" s="201"/>
      <c r="I20" s="201">
        <f>(0.8*2.1)</f>
        <v>1.6800000000000002</v>
      </c>
      <c r="J20" s="201">
        <f>(1.2*1.1)+(1*1.1)</f>
        <v>2.42</v>
      </c>
      <c r="K20" s="214"/>
      <c r="L20" s="187">
        <f>2.82+6.76</f>
        <v>9.58</v>
      </c>
      <c r="M20" s="189">
        <f t="shared" si="0"/>
        <v>1.9160000000000001</v>
      </c>
      <c r="N20" s="187">
        <f>2.82+6.76</f>
        <v>9.58</v>
      </c>
      <c r="O20" s="189">
        <f t="shared" si="4"/>
        <v>1.1496</v>
      </c>
      <c r="P20" s="187">
        <f>2.82+6.76</f>
        <v>9.58</v>
      </c>
      <c r="Q20" s="224">
        <f t="shared" si="5"/>
        <v>0.3832000000000001</v>
      </c>
      <c r="R20" s="188">
        <v>4.32</v>
      </c>
      <c r="S20" s="224">
        <f t="shared" si="6"/>
        <v>0.8640000000000001</v>
      </c>
      <c r="T20" s="188">
        <v>6.76</v>
      </c>
      <c r="U20" s="189">
        <f t="shared" si="12"/>
        <v>0.67600000000000005</v>
      </c>
      <c r="V20" s="210">
        <v>1.2</v>
      </c>
      <c r="W20" s="219">
        <v>1.6</v>
      </c>
      <c r="X20" s="187">
        <v>2.82</v>
      </c>
      <c r="Y20" s="189">
        <f t="shared" si="7"/>
        <v>8.4599999999999995E-2</v>
      </c>
      <c r="Z20" s="219"/>
      <c r="AA20" s="187">
        <f>2.82+(0.8*2.1)</f>
        <v>4.5</v>
      </c>
      <c r="AB20" s="189">
        <v>12.6</v>
      </c>
      <c r="AC20" s="201">
        <v>2.2000000000000002</v>
      </c>
      <c r="AD20" s="201"/>
      <c r="AE20" s="201"/>
      <c r="AF20" s="219"/>
      <c r="AG20" s="188"/>
      <c r="AH20" s="218">
        <f t="shared" si="11"/>
        <v>0</v>
      </c>
      <c r="AI20" s="188"/>
      <c r="AJ20" s="189">
        <f t="shared" si="9"/>
        <v>0</v>
      </c>
      <c r="AK20" s="201">
        <v>16.2</v>
      </c>
      <c r="AL20" s="219">
        <v>16.100000000000001</v>
      </c>
      <c r="AM20" s="183">
        <v>48.3</v>
      </c>
      <c r="AN20" s="200"/>
    </row>
    <row r="21" spans="1:40">
      <c r="A21" s="183" t="s">
        <v>263</v>
      </c>
      <c r="B21" s="188">
        <f>2.82+1.45</f>
        <v>4.2699999999999996</v>
      </c>
      <c r="C21" s="189">
        <f t="shared" si="1"/>
        <v>1.9855499999999997</v>
      </c>
      <c r="D21" s="188">
        <v>11.28</v>
      </c>
      <c r="E21" s="189">
        <f t="shared" si="2"/>
        <v>11.28</v>
      </c>
      <c r="F21" s="188">
        <v>2.82</v>
      </c>
      <c r="G21" s="189">
        <f t="shared" si="3"/>
        <v>8.7419999999999991</v>
      </c>
      <c r="H21" s="201">
        <v>4</v>
      </c>
      <c r="I21" s="201">
        <f>(0.7*2.1*2)</f>
        <v>2.94</v>
      </c>
      <c r="J21" s="201">
        <f>(1.2*1.1)+(0.42*0.4*2)+(0.7*2.1*2)</f>
        <v>4.5960000000000001</v>
      </c>
      <c r="K21" s="214"/>
      <c r="L21" s="187"/>
      <c r="M21" s="189">
        <f t="shared" si="0"/>
        <v>0</v>
      </c>
      <c r="N21" s="187"/>
      <c r="O21" s="189">
        <f t="shared" si="4"/>
        <v>0</v>
      </c>
      <c r="P21" s="187"/>
      <c r="Q21" s="224">
        <f t="shared" si="5"/>
        <v>0</v>
      </c>
      <c r="R21" s="188"/>
      <c r="S21" s="224">
        <f t="shared" si="6"/>
        <v>0</v>
      </c>
      <c r="T21" s="188"/>
      <c r="U21" s="189">
        <f t="shared" si="12"/>
        <v>0</v>
      </c>
      <c r="V21" s="210">
        <v>1.2</v>
      </c>
      <c r="W21" s="219">
        <v>1.6</v>
      </c>
      <c r="X21" s="187"/>
      <c r="Y21" s="189">
        <f t="shared" si="7"/>
        <v>0</v>
      </c>
      <c r="Z21" s="219"/>
      <c r="AA21" s="187"/>
      <c r="AB21" s="189">
        <f t="shared" si="8"/>
        <v>0</v>
      </c>
      <c r="AC21" s="201">
        <v>1.1200000000000001</v>
      </c>
      <c r="AD21" s="201"/>
      <c r="AE21" s="201"/>
      <c r="AF21" s="219"/>
      <c r="AG21" s="188"/>
      <c r="AH21" s="218">
        <f t="shared" si="11"/>
        <v>0</v>
      </c>
      <c r="AI21" s="188"/>
      <c r="AJ21" s="189">
        <f t="shared" si="9"/>
        <v>0</v>
      </c>
      <c r="AK21" s="201">
        <v>11.28</v>
      </c>
      <c r="AL21" s="219">
        <v>13.64</v>
      </c>
      <c r="AM21" s="183">
        <v>40.92</v>
      </c>
      <c r="AN21" s="200"/>
    </row>
    <row r="22" spans="1:40" ht="40.5" customHeight="1">
      <c r="A22" s="184" t="s">
        <v>337</v>
      </c>
      <c r="B22" s="188"/>
      <c r="C22" s="189">
        <f t="shared" si="1"/>
        <v>0</v>
      </c>
      <c r="D22" s="188"/>
      <c r="E22" s="189">
        <f t="shared" si="2"/>
        <v>0</v>
      </c>
      <c r="F22" s="188"/>
      <c r="G22" s="189">
        <f t="shared" si="3"/>
        <v>0</v>
      </c>
      <c r="H22" s="201"/>
      <c r="I22" s="201"/>
      <c r="J22" s="201"/>
      <c r="K22" s="214"/>
      <c r="L22" s="187"/>
      <c r="M22" s="189">
        <f t="shared" si="0"/>
        <v>0</v>
      </c>
      <c r="N22" s="187"/>
      <c r="O22" s="189">
        <f t="shared" si="4"/>
        <v>0</v>
      </c>
      <c r="P22" s="187"/>
      <c r="Q22" s="224">
        <f t="shared" si="5"/>
        <v>0</v>
      </c>
      <c r="R22" s="188"/>
      <c r="S22" s="224">
        <f t="shared" si="6"/>
        <v>0</v>
      </c>
      <c r="T22" s="188"/>
      <c r="U22" s="189">
        <f t="shared" si="12"/>
        <v>0</v>
      </c>
      <c r="V22" s="210"/>
      <c r="W22" s="219"/>
      <c r="X22" s="187"/>
      <c r="Y22" s="189">
        <f t="shared" si="7"/>
        <v>0</v>
      </c>
      <c r="Z22" s="219"/>
      <c r="AA22" s="187"/>
      <c r="AB22" s="189">
        <f t="shared" si="8"/>
        <v>0</v>
      </c>
      <c r="AC22" s="201"/>
      <c r="AD22" s="201"/>
      <c r="AE22" s="201"/>
      <c r="AF22" s="219"/>
      <c r="AG22" s="188"/>
      <c r="AH22" s="218">
        <f t="shared" si="11"/>
        <v>0</v>
      </c>
      <c r="AI22" s="188"/>
      <c r="AJ22" s="189">
        <f t="shared" si="9"/>
        <v>0</v>
      </c>
      <c r="AK22" s="201"/>
      <c r="AL22" s="219"/>
      <c r="AM22" s="183">
        <f t="shared" si="10"/>
        <v>0</v>
      </c>
      <c r="AN22" s="200"/>
    </row>
    <row r="23" spans="1:40" ht="25.5">
      <c r="A23" s="184" t="s">
        <v>338</v>
      </c>
      <c r="B23" s="188">
        <v>2.9</v>
      </c>
      <c r="C23" s="189">
        <f t="shared" si="1"/>
        <v>1.3485</v>
      </c>
      <c r="D23" s="188">
        <v>11.6</v>
      </c>
      <c r="E23" s="189">
        <f t="shared" si="2"/>
        <v>11.6</v>
      </c>
      <c r="F23" s="188"/>
      <c r="G23" s="189">
        <f t="shared" si="3"/>
        <v>0</v>
      </c>
      <c r="H23" s="201"/>
      <c r="I23" s="201">
        <f>(0.8*2.1*2)</f>
        <v>3.3600000000000003</v>
      </c>
      <c r="J23" s="201">
        <f>(1.2*1.1)+(0.8*2.1*2)</f>
        <v>4.6800000000000006</v>
      </c>
      <c r="K23" s="214"/>
      <c r="L23" s="187">
        <v>1.06</v>
      </c>
      <c r="M23" s="189">
        <f t="shared" si="0"/>
        <v>0.21200000000000002</v>
      </c>
      <c r="N23" s="187">
        <v>1.06</v>
      </c>
      <c r="O23" s="189">
        <f t="shared" si="4"/>
        <v>0.12720000000000001</v>
      </c>
      <c r="P23" s="187">
        <v>1.06</v>
      </c>
      <c r="Q23" s="224">
        <f t="shared" si="5"/>
        <v>4.2400000000000007E-2</v>
      </c>
      <c r="R23" s="188"/>
      <c r="S23" s="224">
        <f t="shared" si="6"/>
        <v>0</v>
      </c>
      <c r="T23" s="188"/>
      <c r="U23" s="189">
        <f t="shared" si="12"/>
        <v>0</v>
      </c>
      <c r="V23" s="210">
        <v>1.2</v>
      </c>
      <c r="W23" s="219">
        <v>1.6</v>
      </c>
      <c r="X23" s="187">
        <v>1.06</v>
      </c>
      <c r="Y23" s="189">
        <f t="shared" si="7"/>
        <v>3.1800000000000002E-2</v>
      </c>
      <c r="Z23" s="219"/>
      <c r="AA23" s="187">
        <v>1.06</v>
      </c>
      <c r="AB23" s="189">
        <v>2.97</v>
      </c>
      <c r="AC23" s="201"/>
      <c r="AD23" s="201"/>
      <c r="AE23" s="201"/>
      <c r="AF23" s="219"/>
      <c r="AG23" s="188"/>
      <c r="AH23" s="218">
        <f t="shared" si="11"/>
        <v>0</v>
      </c>
      <c r="AI23" s="188"/>
      <c r="AJ23" s="189">
        <f t="shared" si="9"/>
        <v>0</v>
      </c>
      <c r="AK23" s="201">
        <v>11.6</v>
      </c>
      <c r="AL23" s="219">
        <v>13.8</v>
      </c>
      <c r="AM23" s="183">
        <v>41.4</v>
      </c>
      <c r="AN23" s="200"/>
    </row>
    <row r="24" spans="1:40">
      <c r="A24" s="184" t="s">
        <v>339</v>
      </c>
      <c r="B24" s="188">
        <v>2.9</v>
      </c>
      <c r="C24" s="189">
        <f t="shared" si="1"/>
        <v>1.3485</v>
      </c>
      <c r="D24" s="188">
        <v>11.6</v>
      </c>
      <c r="E24" s="189">
        <f t="shared" si="2"/>
        <v>11.6</v>
      </c>
      <c r="F24" s="188"/>
      <c r="G24" s="189">
        <f t="shared" si="3"/>
        <v>0</v>
      </c>
      <c r="H24" s="201"/>
      <c r="I24" s="201">
        <f>(0.8*2.1)</f>
        <v>1.6800000000000002</v>
      </c>
      <c r="J24" s="201">
        <f>(1.2*1.1)+(1*1.1)+(0.8*2.1)</f>
        <v>4.0999999999999996</v>
      </c>
      <c r="K24" s="214"/>
      <c r="L24" s="187">
        <v>1.06</v>
      </c>
      <c r="M24" s="189">
        <f t="shared" si="0"/>
        <v>0.21200000000000002</v>
      </c>
      <c r="N24" s="187">
        <v>1.06</v>
      </c>
      <c r="O24" s="189">
        <f t="shared" si="4"/>
        <v>0.12720000000000001</v>
      </c>
      <c r="P24" s="187">
        <v>1.06</v>
      </c>
      <c r="Q24" s="224">
        <f t="shared" si="5"/>
        <v>4.2400000000000007E-2</v>
      </c>
      <c r="R24" s="188"/>
      <c r="S24" s="224">
        <f t="shared" si="6"/>
        <v>0</v>
      </c>
      <c r="T24" s="188"/>
      <c r="U24" s="189">
        <f t="shared" si="12"/>
        <v>0</v>
      </c>
      <c r="V24" s="210">
        <v>1.2</v>
      </c>
      <c r="W24" s="219">
        <v>1.6</v>
      </c>
      <c r="X24" s="187">
        <v>1.06</v>
      </c>
      <c r="Y24" s="189">
        <f t="shared" si="7"/>
        <v>3.1800000000000002E-2</v>
      </c>
      <c r="Z24" s="219"/>
      <c r="AA24" s="187">
        <f>1.06+(0.8*2.1)+(1*1.1)</f>
        <v>3.8400000000000003</v>
      </c>
      <c r="AB24" s="189">
        <v>10.75</v>
      </c>
      <c r="AC24" s="201"/>
      <c r="AD24" s="201"/>
      <c r="AE24" s="201"/>
      <c r="AF24" s="219"/>
      <c r="AG24" s="188"/>
      <c r="AH24" s="218">
        <f t="shared" si="11"/>
        <v>0</v>
      </c>
      <c r="AI24" s="188"/>
      <c r="AJ24" s="189">
        <f t="shared" si="9"/>
        <v>0</v>
      </c>
      <c r="AK24" s="201">
        <v>11.6</v>
      </c>
      <c r="AL24" s="219">
        <v>13.8</v>
      </c>
      <c r="AM24" s="183">
        <v>41.4</v>
      </c>
      <c r="AN24" s="200"/>
    </row>
    <row r="25" spans="1:40">
      <c r="A25" s="183" t="s">
        <v>248</v>
      </c>
      <c r="B25" s="188">
        <f>1.24</f>
        <v>1.24</v>
      </c>
      <c r="C25" s="189">
        <f t="shared" si="1"/>
        <v>0.5766</v>
      </c>
      <c r="D25" s="188"/>
      <c r="E25" s="189">
        <f t="shared" si="2"/>
        <v>0</v>
      </c>
      <c r="F25" s="188"/>
      <c r="G25" s="189">
        <f t="shared" si="3"/>
        <v>0</v>
      </c>
      <c r="H25" s="201"/>
      <c r="I25" s="201"/>
      <c r="J25" s="201">
        <f>(2*1.1)</f>
        <v>2.2000000000000002</v>
      </c>
      <c r="K25" s="214"/>
      <c r="L25" s="187">
        <v>8.08</v>
      </c>
      <c r="M25" s="189">
        <f t="shared" si="0"/>
        <v>1.6160000000000001</v>
      </c>
      <c r="N25" s="187">
        <v>8.08</v>
      </c>
      <c r="O25" s="189">
        <f t="shared" si="4"/>
        <v>0.96960000000000002</v>
      </c>
      <c r="P25" s="187">
        <v>8.08</v>
      </c>
      <c r="Q25" s="224">
        <f t="shared" si="5"/>
        <v>0.32320000000000004</v>
      </c>
      <c r="R25" s="188">
        <v>0.45</v>
      </c>
      <c r="S25" s="224">
        <f t="shared" si="6"/>
        <v>9.0000000000000011E-2</v>
      </c>
      <c r="T25" s="188">
        <v>0.45</v>
      </c>
      <c r="U25" s="189">
        <f t="shared" si="12"/>
        <v>4.5000000000000005E-2</v>
      </c>
      <c r="V25" s="210">
        <v>1.2</v>
      </c>
      <c r="W25" s="219">
        <v>0.9</v>
      </c>
      <c r="X25" s="187">
        <v>8.08</v>
      </c>
      <c r="Y25" s="189">
        <f t="shared" si="7"/>
        <v>0.2424</v>
      </c>
      <c r="Z25" s="219">
        <v>8.08</v>
      </c>
      <c r="AA25" s="187">
        <v>8.08</v>
      </c>
      <c r="AB25" s="189">
        <v>22.62</v>
      </c>
      <c r="AC25" s="201">
        <v>0.68</v>
      </c>
      <c r="AD25" s="201"/>
      <c r="AE25" s="201"/>
      <c r="AF25" s="219"/>
      <c r="AG25" s="188">
        <v>6.88</v>
      </c>
      <c r="AH25" s="218">
        <f t="shared" si="11"/>
        <v>20.64</v>
      </c>
      <c r="AI25" s="188"/>
      <c r="AJ25" s="189">
        <f t="shared" si="9"/>
        <v>0</v>
      </c>
      <c r="AK25" s="201">
        <v>2.73</v>
      </c>
      <c r="AL25" s="219"/>
      <c r="AM25" s="183">
        <f t="shared" si="10"/>
        <v>0</v>
      </c>
      <c r="AN25" s="200"/>
    </row>
    <row r="26" spans="1:40">
      <c r="A26" s="184" t="s">
        <v>340</v>
      </c>
      <c r="B26" s="188"/>
      <c r="C26" s="189">
        <f t="shared" si="1"/>
        <v>0</v>
      </c>
      <c r="D26" s="188"/>
      <c r="E26" s="189">
        <f t="shared" si="2"/>
        <v>0</v>
      </c>
      <c r="F26" s="188"/>
      <c r="G26" s="189">
        <f t="shared" si="3"/>
        <v>0</v>
      </c>
      <c r="H26" s="201"/>
      <c r="I26" s="201"/>
      <c r="J26" s="201"/>
      <c r="K26" s="214"/>
      <c r="L26" s="187"/>
      <c r="M26" s="189">
        <f t="shared" si="0"/>
        <v>0</v>
      </c>
      <c r="N26" s="187"/>
      <c r="O26" s="189">
        <f t="shared" si="4"/>
        <v>0</v>
      </c>
      <c r="P26" s="187"/>
      <c r="Q26" s="224">
        <f t="shared" si="5"/>
        <v>0</v>
      </c>
      <c r="R26" s="188"/>
      <c r="S26" s="224">
        <f t="shared" si="6"/>
        <v>0</v>
      </c>
      <c r="T26" s="188"/>
      <c r="U26" s="189">
        <f t="shared" si="12"/>
        <v>0</v>
      </c>
      <c r="V26" s="210"/>
      <c r="W26" s="219"/>
      <c r="X26" s="188"/>
      <c r="Y26" s="189">
        <f t="shared" si="7"/>
        <v>0</v>
      </c>
      <c r="Z26" s="219"/>
      <c r="AA26" s="188"/>
      <c r="AB26" s="189">
        <f t="shared" si="8"/>
        <v>0</v>
      </c>
      <c r="AC26" s="201"/>
      <c r="AD26" s="201"/>
      <c r="AE26" s="201"/>
      <c r="AF26" s="219"/>
      <c r="AG26" s="188"/>
      <c r="AH26" s="218">
        <f t="shared" si="11"/>
        <v>0</v>
      </c>
      <c r="AI26" s="188"/>
      <c r="AJ26" s="189">
        <f t="shared" si="9"/>
        <v>0</v>
      </c>
      <c r="AK26" s="201"/>
      <c r="AL26" s="219"/>
      <c r="AM26" s="183">
        <f t="shared" si="10"/>
        <v>0</v>
      </c>
      <c r="AN26" s="200"/>
    </row>
    <row r="27" spans="1:40">
      <c r="A27" s="183" t="s">
        <v>333</v>
      </c>
      <c r="B27" s="188"/>
      <c r="C27" s="189">
        <f t="shared" si="1"/>
        <v>0</v>
      </c>
      <c r="D27" s="188"/>
      <c r="E27" s="189">
        <f t="shared" si="2"/>
        <v>0</v>
      </c>
      <c r="F27" s="188"/>
      <c r="G27" s="189">
        <f t="shared" si="3"/>
        <v>0</v>
      </c>
      <c r="H27" s="201"/>
      <c r="I27" s="201"/>
      <c r="J27" s="201"/>
      <c r="K27" s="214"/>
      <c r="L27" s="187"/>
      <c r="M27" s="189">
        <f t="shared" si="0"/>
        <v>0</v>
      </c>
      <c r="N27" s="187"/>
      <c r="O27" s="189">
        <f t="shared" si="4"/>
        <v>0</v>
      </c>
      <c r="P27" s="187"/>
      <c r="Q27" s="224">
        <f t="shared" si="5"/>
        <v>0</v>
      </c>
      <c r="R27" s="188"/>
      <c r="S27" s="224">
        <f t="shared" si="6"/>
        <v>0</v>
      </c>
      <c r="T27" s="188"/>
      <c r="U27" s="189">
        <f t="shared" si="12"/>
        <v>0</v>
      </c>
      <c r="V27" s="210"/>
      <c r="W27" s="219"/>
      <c r="X27" s="188"/>
      <c r="Y27" s="189">
        <f t="shared" si="7"/>
        <v>0</v>
      </c>
      <c r="Z27" s="219"/>
      <c r="AA27" s="188"/>
      <c r="AB27" s="189">
        <f t="shared" si="8"/>
        <v>0</v>
      </c>
      <c r="AC27" s="201"/>
      <c r="AD27" s="201"/>
      <c r="AE27" s="201"/>
      <c r="AF27" s="219"/>
      <c r="AG27" s="188"/>
      <c r="AH27" s="218">
        <f t="shared" si="11"/>
        <v>0</v>
      </c>
      <c r="AI27" s="188"/>
      <c r="AJ27" s="189">
        <f t="shared" si="9"/>
        <v>0</v>
      </c>
      <c r="AK27" s="201"/>
      <c r="AL27" s="219"/>
      <c r="AM27" s="183">
        <f t="shared" si="10"/>
        <v>0</v>
      </c>
      <c r="AN27" s="200"/>
    </row>
    <row r="28" spans="1:40">
      <c r="A28" s="184" t="s">
        <v>334</v>
      </c>
      <c r="B28" s="188"/>
      <c r="C28" s="189">
        <f t="shared" si="1"/>
        <v>0</v>
      </c>
      <c r="D28" s="188"/>
      <c r="E28" s="189">
        <f t="shared" si="2"/>
        <v>0</v>
      </c>
      <c r="F28" s="188"/>
      <c r="G28" s="189">
        <f t="shared" si="3"/>
        <v>0</v>
      </c>
      <c r="H28" s="201"/>
      <c r="I28" s="201"/>
      <c r="J28" s="201"/>
      <c r="K28" s="214"/>
      <c r="L28" s="187"/>
      <c r="M28" s="189">
        <f t="shared" si="0"/>
        <v>0</v>
      </c>
      <c r="N28" s="187"/>
      <c r="O28" s="189">
        <f t="shared" si="4"/>
        <v>0</v>
      </c>
      <c r="P28" s="187"/>
      <c r="Q28" s="224">
        <f t="shared" si="5"/>
        <v>0</v>
      </c>
      <c r="R28" s="188"/>
      <c r="S28" s="224">
        <f t="shared" si="6"/>
        <v>0</v>
      </c>
      <c r="T28" s="188"/>
      <c r="U28" s="189">
        <f t="shared" si="12"/>
        <v>0</v>
      </c>
      <c r="V28" s="210"/>
      <c r="W28" s="219"/>
      <c r="X28" s="188"/>
      <c r="Y28" s="189">
        <f t="shared" si="7"/>
        <v>0</v>
      </c>
      <c r="Z28" s="219"/>
      <c r="AA28" s="188"/>
      <c r="AB28" s="189">
        <f t="shared" si="8"/>
        <v>0</v>
      </c>
      <c r="AC28" s="201"/>
      <c r="AD28" s="201"/>
      <c r="AE28" s="201"/>
      <c r="AF28" s="219"/>
      <c r="AG28" s="188"/>
      <c r="AH28" s="218">
        <f t="shared" si="11"/>
        <v>0</v>
      </c>
      <c r="AI28" s="188"/>
      <c r="AJ28" s="189">
        <f t="shared" si="9"/>
        <v>0</v>
      </c>
      <c r="AK28" s="201"/>
      <c r="AL28" s="219"/>
      <c r="AM28" s="183">
        <f t="shared" si="10"/>
        <v>0</v>
      </c>
      <c r="AN28" s="200"/>
    </row>
    <row r="29" spans="1:40">
      <c r="A29" s="183" t="s">
        <v>341</v>
      </c>
      <c r="B29" s="188"/>
      <c r="C29" s="189">
        <f t="shared" si="1"/>
        <v>0</v>
      </c>
      <c r="D29" s="188"/>
      <c r="E29" s="189">
        <f t="shared" si="2"/>
        <v>0</v>
      </c>
      <c r="F29" s="188"/>
      <c r="G29" s="189">
        <f t="shared" si="3"/>
        <v>0</v>
      </c>
      <c r="H29" s="201"/>
      <c r="I29" s="201"/>
      <c r="J29" s="201"/>
      <c r="K29" s="214"/>
      <c r="L29" s="187"/>
      <c r="M29" s="189">
        <f t="shared" si="0"/>
        <v>0</v>
      </c>
      <c r="N29" s="187"/>
      <c r="O29" s="189">
        <f t="shared" si="4"/>
        <v>0</v>
      </c>
      <c r="P29" s="187"/>
      <c r="Q29" s="224">
        <f t="shared" si="5"/>
        <v>0</v>
      </c>
      <c r="R29" s="188"/>
      <c r="S29" s="224">
        <f t="shared" si="6"/>
        <v>0</v>
      </c>
      <c r="T29" s="188"/>
      <c r="U29" s="189">
        <f t="shared" si="12"/>
        <v>0</v>
      </c>
      <c r="V29" s="210"/>
      <c r="W29" s="219"/>
      <c r="X29" s="188"/>
      <c r="Y29" s="189">
        <f t="shared" si="7"/>
        <v>0</v>
      </c>
      <c r="Z29" s="219"/>
      <c r="AA29" s="188"/>
      <c r="AB29" s="189">
        <f t="shared" si="8"/>
        <v>0</v>
      </c>
      <c r="AC29" s="201"/>
      <c r="AD29" s="201"/>
      <c r="AE29" s="201"/>
      <c r="AF29" s="219"/>
      <c r="AG29" s="188"/>
      <c r="AH29" s="218">
        <f t="shared" si="11"/>
        <v>0</v>
      </c>
      <c r="AI29" s="188"/>
      <c r="AJ29" s="189">
        <f t="shared" si="9"/>
        <v>0</v>
      </c>
      <c r="AK29" s="201"/>
      <c r="AL29" s="219"/>
      <c r="AM29" s="183">
        <f t="shared" si="10"/>
        <v>0</v>
      </c>
      <c r="AN29" s="200"/>
    </row>
    <row r="30" spans="1:40">
      <c r="A30" s="184" t="s">
        <v>342</v>
      </c>
      <c r="B30" s="188"/>
      <c r="C30" s="189">
        <f t="shared" si="1"/>
        <v>0</v>
      </c>
      <c r="D30" s="188"/>
      <c r="E30" s="189">
        <f t="shared" si="2"/>
        <v>0</v>
      </c>
      <c r="F30" s="188"/>
      <c r="G30" s="189">
        <f t="shared" si="3"/>
        <v>0</v>
      </c>
      <c r="H30" s="201"/>
      <c r="I30" s="201"/>
      <c r="J30" s="201"/>
      <c r="K30" s="214"/>
      <c r="L30" s="187"/>
      <c r="M30" s="189">
        <f t="shared" si="0"/>
        <v>0</v>
      </c>
      <c r="N30" s="187"/>
      <c r="O30" s="189">
        <f t="shared" si="4"/>
        <v>0</v>
      </c>
      <c r="P30" s="187"/>
      <c r="Q30" s="224">
        <f t="shared" si="5"/>
        <v>0</v>
      </c>
      <c r="R30" s="188"/>
      <c r="S30" s="224">
        <f t="shared" si="6"/>
        <v>0</v>
      </c>
      <c r="T30" s="188"/>
      <c r="U30" s="189">
        <f t="shared" si="12"/>
        <v>0</v>
      </c>
      <c r="V30" s="210"/>
      <c r="W30" s="219"/>
      <c r="X30" s="188"/>
      <c r="Y30" s="189">
        <f t="shared" si="7"/>
        <v>0</v>
      </c>
      <c r="Z30" s="219"/>
      <c r="AA30" s="188"/>
      <c r="AB30" s="189">
        <f t="shared" si="8"/>
        <v>0</v>
      </c>
      <c r="AC30" s="201"/>
      <c r="AD30" s="201"/>
      <c r="AE30" s="201"/>
      <c r="AF30" s="219"/>
      <c r="AG30" s="188"/>
      <c r="AH30" s="218">
        <f t="shared" si="11"/>
        <v>0</v>
      </c>
      <c r="AI30" s="188"/>
      <c r="AJ30" s="189">
        <f t="shared" si="9"/>
        <v>0</v>
      </c>
      <c r="AK30" s="201"/>
      <c r="AL30" s="219"/>
      <c r="AM30" s="183">
        <f t="shared" si="10"/>
        <v>0</v>
      </c>
      <c r="AN30" s="200"/>
    </row>
    <row r="31" spans="1:40">
      <c r="A31" s="183" t="s">
        <v>343</v>
      </c>
      <c r="B31" s="188"/>
      <c r="C31" s="189">
        <f t="shared" si="1"/>
        <v>0</v>
      </c>
      <c r="D31" s="188"/>
      <c r="E31" s="189">
        <f t="shared" si="2"/>
        <v>0</v>
      </c>
      <c r="F31" s="188"/>
      <c r="G31" s="189">
        <f t="shared" si="3"/>
        <v>0</v>
      </c>
      <c r="H31" s="201"/>
      <c r="I31" s="201"/>
      <c r="J31" s="201"/>
      <c r="K31" s="214"/>
      <c r="L31" s="187"/>
      <c r="M31" s="189">
        <f t="shared" si="0"/>
        <v>0</v>
      </c>
      <c r="N31" s="187"/>
      <c r="O31" s="189">
        <f t="shared" si="4"/>
        <v>0</v>
      </c>
      <c r="P31" s="187"/>
      <c r="Q31" s="224">
        <f t="shared" si="5"/>
        <v>0</v>
      </c>
      <c r="R31" s="188"/>
      <c r="S31" s="224">
        <f t="shared" si="6"/>
        <v>0</v>
      </c>
      <c r="T31" s="188"/>
      <c r="U31" s="189">
        <f t="shared" si="12"/>
        <v>0</v>
      </c>
      <c r="V31" s="210"/>
      <c r="W31" s="219"/>
      <c r="X31" s="188"/>
      <c r="Y31" s="189">
        <f t="shared" si="7"/>
        <v>0</v>
      </c>
      <c r="Z31" s="219"/>
      <c r="AA31" s="188"/>
      <c r="AB31" s="189">
        <f t="shared" si="8"/>
        <v>0</v>
      </c>
      <c r="AC31" s="201"/>
      <c r="AD31" s="201"/>
      <c r="AE31" s="201"/>
      <c r="AF31" s="219"/>
      <c r="AG31" s="188"/>
      <c r="AH31" s="218">
        <f t="shared" si="11"/>
        <v>0</v>
      </c>
      <c r="AI31" s="188"/>
      <c r="AJ31" s="189">
        <f t="shared" si="9"/>
        <v>0</v>
      </c>
      <c r="AK31" s="201"/>
      <c r="AL31" s="219"/>
      <c r="AM31" s="183">
        <f t="shared" si="10"/>
        <v>0</v>
      </c>
      <c r="AN31" s="200"/>
    </row>
    <row r="32" spans="1:40" ht="25.5">
      <c r="A32" s="184" t="s">
        <v>344</v>
      </c>
      <c r="B32" s="188"/>
      <c r="C32" s="189">
        <f t="shared" si="1"/>
        <v>0</v>
      </c>
      <c r="D32" s="188"/>
      <c r="E32" s="189">
        <f t="shared" si="2"/>
        <v>0</v>
      </c>
      <c r="F32" s="188"/>
      <c r="G32" s="189">
        <f t="shared" si="3"/>
        <v>0</v>
      </c>
      <c r="H32" s="201"/>
      <c r="I32" s="201"/>
      <c r="J32" s="201"/>
      <c r="K32" s="214"/>
      <c r="L32" s="187"/>
      <c r="M32" s="189">
        <f t="shared" si="0"/>
        <v>0</v>
      </c>
      <c r="N32" s="187"/>
      <c r="O32" s="189">
        <f t="shared" si="4"/>
        <v>0</v>
      </c>
      <c r="P32" s="187"/>
      <c r="Q32" s="224">
        <f t="shared" si="5"/>
        <v>0</v>
      </c>
      <c r="R32" s="188"/>
      <c r="S32" s="224">
        <f t="shared" si="6"/>
        <v>0</v>
      </c>
      <c r="T32" s="188"/>
      <c r="U32" s="189">
        <f t="shared" si="12"/>
        <v>0</v>
      </c>
      <c r="V32" s="210"/>
      <c r="W32" s="219"/>
      <c r="X32" s="188"/>
      <c r="Y32" s="189">
        <f t="shared" si="7"/>
        <v>0</v>
      </c>
      <c r="Z32" s="219"/>
      <c r="AA32" s="188"/>
      <c r="AB32" s="189">
        <f t="shared" si="8"/>
        <v>0</v>
      </c>
      <c r="AC32" s="201"/>
      <c r="AD32" s="201"/>
      <c r="AE32" s="201"/>
      <c r="AF32" s="219"/>
      <c r="AG32" s="188"/>
      <c r="AH32" s="218">
        <f t="shared" si="11"/>
        <v>0</v>
      </c>
      <c r="AI32" s="188"/>
      <c r="AJ32" s="189">
        <f t="shared" si="9"/>
        <v>0</v>
      </c>
      <c r="AK32" s="201"/>
      <c r="AL32" s="219"/>
      <c r="AM32" s="183">
        <f t="shared" si="10"/>
        <v>0</v>
      </c>
      <c r="AN32" s="200"/>
    </row>
    <row r="33" spans="1:40" ht="25.5">
      <c r="A33" s="184" t="s">
        <v>345</v>
      </c>
      <c r="B33" s="204"/>
      <c r="C33" s="205">
        <f t="shared" si="1"/>
        <v>0</v>
      </c>
      <c r="D33" s="204"/>
      <c r="E33" s="205">
        <f t="shared" si="2"/>
        <v>0</v>
      </c>
      <c r="F33" s="204"/>
      <c r="G33" s="205">
        <f t="shared" si="3"/>
        <v>0</v>
      </c>
      <c r="H33" s="206"/>
      <c r="I33" s="206"/>
      <c r="J33" s="206"/>
      <c r="K33" s="215"/>
      <c r="L33" s="187"/>
      <c r="M33" s="189">
        <f t="shared" si="0"/>
        <v>0</v>
      </c>
      <c r="N33" s="187"/>
      <c r="O33" s="189">
        <f t="shared" si="4"/>
        <v>0</v>
      </c>
      <c r="P33" s="187"/>
      <c r="Q33" s="224">
        <f t="shared" si="5"/>
        <v>0</v>
      </c>
      <c r="R33" s="188"/>
      <c r="S33" s="224">
        <f t="shared" si="6"/>
        <v>0</v>
      </c>
      <c r="T33" s="188"/>
      <c r="U33" s="189">
        <f t="shared" si="12"/>
        <v>0</v>
      </c>
      <c r="V33" s="211"/>
      <c r="W33" s="220"/>
      <c r="X33" s="188"/>
      <c r="Y33" s="189">
        <f t="shared" si="7"/>
        <v>0</v>
      </c>
      <c r="Z33" s="220"/>
      <c r="AA33" s="188"/>
      <c r="AB33" s="189">
        <f t="shared" si="8"/>
        <v>0</v>
      </c>
      <c r="AC33" s="206"/>
      <c r="AD33" s="206"/>
      <c r="AE33" s="206"/>
      <c r="AF33" s="220"/>
      <c r="AG33" s="188"/>
      <c r="AH33" s="218">
        <f t="shared" si="11"/>
        <v>0</v>
      </c>
      <c r="AI33" s="188"/>
      <c r="AJ33" s="189">
        <f t="shared" si="9"/>
        <v>0</v>
      </c>
      <c r="AK33" s="206"/>
      <c r="AL33" s="220"/>
      <c r="AM33" s="183">
        <f t="shared" si="10"/>
        <v>0</v>
      </c>
      <c r="AN33" s="200"/>
    </row>
    <row r="34" spans="1:40">
      <c r="A34" s="237"/>
      <c r="B34" s="204"/>
      <c r="C34" s="205"/>
      <c r="D34" s="204"/>
      <c r="E34" s="205"/>
      <c r="F34" s="204"/>
      <c r="G34" s="205"/>
      <c r="H34" s="206"/>
      <c r="I34" s="206"/>
      <c r="J34" s="206"/>
      <c r="K34" s="215"/>
      <c r="L34" s="238"/>
      <c r="M34" s="189"/>
      <c r="N34" s="238"/>
      <c r="O34" s="189"/>
      <c r="P34" s="238"/>
      <c r="Q34" s="224"/>
      <c r="R34" s="204"/>
      <c r="S34" s="239"/>
      <c r="T34" s="204"/>
      <c r="U34" s="205"/>
      <c r="V34" s="211"/>
      <c r="W34" s="220"/>
      <c r="X34" s="204"/>
      <c r="Y34" s="205"/>
      <c r="Z34" s="220"/>
      <c r="AA34" s="204"/>
      <c r="AB34" s="205"/>
      <c r="AC34" s="206"/>
      <c r="AD34" s="206"/>
      <c r="AE34" s="206"/>
      <c r="AF34" s="220"/>
      <c r="AG34" s="204"/>
      <c r="AH34" s="218"/>
      <c r="AI34" s="188"/>
      <c r="AJ34" s="189">
        <f t="shared" si="9"/>
        <v>0</v>
      </c>
      <c r="AK34" s="206"/>
      <c r="AL34" s="220"/>
      <c r="AM34" s="183">
        <f t="shared" si="10"/>
        <v>0</v>
      </c>
      <c r="AN34" s="200"/>
    </row>
    <row r="35" spans="1:40" ht="13.5" thickBot="1">
      <c r="A35" s="203" t="s">
        <v>354</v>
      </c>
      <c r="B35" s="190"/>
      <c r="C35" s="192"/>
      <c r="D35" s="190"/>
      <c r="E35" s="192"/>
      <c r="F35" s="190"/>
      <c r="G35" s="192"/>
      <c r="H35" s="202"/>
      <c r="I35" s="202"/>
      <c r="J35" s="202"/>
      <c r="K35" s="216">
        <v>85.1</v>
      </c>
      <c r="L35" s="217"/>
      <c r="M35" s="189">
        <f>L35*$B$4</f>
        <v>0</v>
      </c>
      <c r="N35" s="217"/>
      <c r="O35" s="189">
        <f>N35*$B$5</f>
        <v>0</v>
      </c>
      <c r="P35" s="217"/>
      <c r="Q35" s="224">
        <f>P35*$F$1</f>
        <v>0</v>
      </c>
      <c r="R35" s="190"/>
      <c r="S35" s="225">
        <f>R35*$F$4</f>
        <v>0</v>
      </c>
      <c r="T35" s="190"/>
      <c r="U35" s="192">
        <f>T35*$J$1</f>
        <v>0</v>
      </c>
      <c r="V35" s="222"/>
      <c r="W35" s="221"/>
      <c r="X35" s="190"/>
      <c r="Y35" s="192">
        <f>X35*$F$2</f>
        <v>0</v>
      </c>
      <c r="Z35" s="221"/>
      <c r="AA35" s="190"/>
      <c r="AB35" s="192">
        <f>AA35*$F$3</f>
        <v>0</v>
      </c>
      <c r="AC35" s="202"/>
      <c r="AD35" s="202">
        <v>63.26</v>
      </c>
      <c r="AE35" s="202">
        <v>34.299999999999997</v>
      </c>
      <c r="AF35" s="221">
        <v>7.61</v>
      </c>
      <c r="AG35" s="190"/>
      <c r="AH35" s="218">
        <f>AG35*$J$2</f>
        <v>0</v>
      </c>
      <c r="AI35" s="190">
        <f>2.56+6.76</f>
        <v>9.32</v>
      </c>
      <c r="AJ35" s="192">
        <f t="shared" si="9"/>
        <v>35.882000000000005</v>
      </c>
      <c r="AK35" s="202"/>
      <c r="AL35" s="221">
        <v>10.47</v>
      </c>
      <c r="AM35" s="257">
        <v>31.41</v>
      </c>
      <c r="AN35" s="260">
        <v>14.46</v>
      </c>
    </row>
    <row r="37" spans="1:40">
      <c r="C37" s="182">
        <f>SUM(C10:C33)</f>
        <v>8.2723499999999994</v>
      </c>
      <c r="D37" s="182"/>
      <c r="E37" s="182">
        <f>SUM(E10:E33)</f>
        <v>50.940000000000005</v>
      </c>
      <c r="F37" s="182"/>
      <c r="G37" s="182">
        <f>SUM(G10:G33)</f>
        <v>8.7419999999999991</v>
      </c>
      <c r="H37" s="182">
        <f>SUM(H10:H33)</f>
        <v>4</v>
      </c>
      <c r="I37" s="182">
        <f>SUM(I10:I33)</f>
        <v>9.66</v>
      </c>
      <c r="J37" s="182">
        <f>SUM(J10:J35)</f>
        <v>17.996000000000002</v>
      </c>
      <c r="K37">
        <f>SUM(K10:K35)</f>
        <v>85.1</v>
      </c>
      <c r="M37">
        <f>SUM(M10:M35)</f>
        <v>3.9560000000000004</v>
      </c>
      <c r="O37">
        <f>SUM(O10:O35)</f>
        <v>2.3735999999999997</v>
      </c>
      <c r="Q37">
        <f>SUM(Q10:Q35)</f>
        <v>0.79120000000000013</v>
      </c>
      <c r="S37">
        <f>SUM(S10:S35)</f>
        <v>0.95400000000000007</v>
      </c>
      <c r="U37">
        <f>SUM(U10:U35)</f>
        <v>0.72100000000000009</v>
      </c>
      <c r="V37">
        <f>SUM(V10:V35)</f>
        <v>6</v>
      </c>
      <c r="W37">
        <f>SUM(W10:W35)</f>
        <v>7.3000000000000007</v>
      </c>
      <c r="Y37">
        <f>SUM(Y10:Y35)</f>
        <v>0.3906</v>
      </c>
      <c r="Z37">
        <f>SUM(Z10:Z35)</f>
        <v>8.08</v>
      </c>
      <c r="AB37">
        <f>SUM(AB10:AB35)</f>
        <v>48.94</v>
      </c>
      <c r="AC37">
        <f>SUM(AC10:AC35)</f>
        <v>4</v>
      </c>
      <c r="AD37">
        <f>SUM(AD10:AD35)</f>
        <v>63.26</v>
      </c>
      <c r="AE37">
        <f>SUM(AE10:AE35)</f>
        <v>34.299999999999997</v>
      </c>
      <c r="AF37">
        <f>SUM(AF10:AF35)</f>
        <v>7.61</v>
      </c>
      <c r="AH37">
        <f>SUM(AH10:AH35)</f>
        <v>20.64</v>
      </c>
      <c r="AJ37">
        <f>SUM(AJ10:AJ35)</f>
        <v>35.882000000000005</v>
      </c>
      <c r="AK37">
        <f>SUM(AK10:AK35)</f>
        <v>60.32</v>
      </c>
      <c r="AM37">
        <f>SUM(AM10:AM35)</f>
        <v>235.95</v>
      </c>
      <c r="AN37">
        <f>SUM(AN10:AN35)</f>
        <v>14.46</v>
      </c>
    </row>
    <row r="39" spans="1:40" ht="13.5" thickBot="1"/>
    <row r="40" spans="1:40">
      <c r="B40" s="525" t="s">
        <v>408</v>
      </c>
      <c r="C40" s="526"/>
      <c r="D40" s="230" t="s">
        <v>191</v>
      </c>
      <c r="E40" s="230" t="s">
        <v>422</v>
      </c>
      <c r="F40" s="230" t="s">
        <v>423</v>
      </c>
      <c r="G40" s="230"/>
      <c r="H40" s="231" t="s">
        <v>146</v>
      </c>
    </row>
    <row r="41" spans="1:40" ht="4.5" customHeight="1" thickBot="1">
      <c r="B41" s="531"/>
      <c r="C41" s="532"/>
      <c r="D41" s="232"/>
      <c r="E41" s="232"/>
      <c r="F41" s="232"/>
      <c r="G41" s="233"/>
      <c r="H41" s="233"/>
    </row>
    <row r="42" spans="1:40">
      <c r="B42" s="527" t="s">
        <v>409</v>
      </c>
      <c r="C42" s="528"/>
      <c r="D42" s="227">
        <v>1</v>
      </c>
      <c r="E42" s="227">
        <v>1</v>
      </c>
      <c r="F42" s="227">
        <v>5</v>
      </c>
      <c r="G42" s="227"/>
      <c r="H42" s="234">
        <f t="shared" ref="H42:H47" si="13">D42*E42*F42</f>
        <v>5</v>
      </c>
    </row>
    <row r="43" spans="1:40">
      <c r="B43" s="529" t="s">
        <v>410</v>
      </c>
      <c r="C43" s="530"/>
      <c r="D43" s="181"/>
      <c r="E43" s="181"/>
      <c r="F43" s="181"/>
      <c r="G43" s="181"/>
      <c r="H43" s="235">
        <f t="shared" si="13"/>
        <v>0</v>
      </c>
    </row>
    <row r="44" spans="1:40">
      <c r="B44" s="529" t="s">
        <v>411</v>
      </c>
      <c r="C44" s="530"/>
      <c r="D44" s="181"/>
      <c r="E44" s="181"/>
      <c r="F44" s="181"/>
      <c r="G44" s="181"/>
      <c r="H44" s="235">
        <f t="shared" si="13"/>
        <v>0</v>
      </c>
    </row>
    <row r="45" spans="1:40">
      <c r="B45" s="529" t="s">
        <v>412</v>
      </c>
      <c r="C45" s="530"/>
      <c r="D45" s="181"/>
      <c r="E45" s="181"/>
      <c r="F45" s="181"/>
      <c r="G45" s="181"/>
      <c r="H45" s="235">
        <f t="shared" si="13"/>
        <v>0</v>
      </c>
    </row>
    <row r="46" spans="1:40">
      <c r="B46" s="529" t="s">
        <v>413</v>
      </c>
      <c r="C46" s="530"/>
      <c r="D46" s="181"/>
      <c r="E46" s="181"/>
      <c r="F46" s="181"/>
      <c r="G46" s="181"/>
      <c r="H46" s="235">
        <f t="shared" si="13"/>
        <v>0</v>
      </c>
    </row>
    <row r="47" spans="1:40" ht="13.5" thickBot="1">
      <c r="B47" s="533" t="s">
        <v>414</v>
      </c>
      <c r="C47" s="534"/>
      <c r="D47" s="228"/>
      <c r="E47" s="228"/>
      <c r="F47" s="228"/>
      <c r="G47" s="228"/>
      <c r="H47" s="236">
        <f t="shared" si="13"/>
        <v>0</v>
      </c>
    </row>
    <row r="48" spans="1:40" ht="2.25" customHeight="1" thickBot="1">
      <c r="B48" s="535"/>
      <c r="C48" s="535"/>
      <c r="D48" s="229"/>
      <c r="E48" s="229"/>
      <c r="F48" s="229"/>
      <c r="G48" s="229"/>
      <c r="H48" s="229"/>
    </row>
    <row r="49" spans="2:8">
      <c r="B49" s="527" t="s">
        <v>415</v>
      </c>
      <c r="C49" s="528"/>
      <c r="D49" s="227">
        <v>0.5</v>
      </c>
      <c r="E49" s="227">
        <v>0.3</v>
      </c>
      <c r="F49" s="227">
        <v>1</v>
      </c>
      <c r="G49" s="227"/>
      <c r="H49" s="234">
        <f t="shared" ref="H49:H55" si="14">D49*E49*F49</f>
        <v>0.15</v>
      </c>
    </row>
    <row r="50" spans="2:8">
      <c r="B50" s="529" t="s">
        <v>416</v>
      </c>
      <c r="C50" s="530"/>
      <c r="D50" s="181">
        <v>1.2</v>
      </c>
      <c r="E50" s="181">
        <v>1.1000000000000001</v>
      </c>
      <c r="F50" s="181">
        <v>4</v>
      </c>
      <c r="G50" s="181"/>
      <c r="H50" s="235">
        <f t="shared" si="14"/>
        <v>5.28</v>
      </c>
    </row>
    <row r="51" spans="2:8">
      <c r="B51" s="529" t="s">
        <v>417</v>
      </c>
      <c r="C51" s="530"/>
      <c r="D51" s="181">
        <v>0.98</v>
      </c>
      <c r="E51" s="181">
        <v>0.3</v>
      </c>
      <c r="F51" s="181"/>
      <c r="G51" s="181"/>
      <c r="H51" s="235">
        <f t="shared" si="14"/>
        <v>0</v>
      </c>
    </row>
    <row r="52" spans="2:8">
      <c r="B52" s="529" t="s">
        <v>418</v>
      </c>
      <c r="C52" s="530"/>
      <c r="D52" s="181">
        <v>0.7</v>
      </c>
      <c r="E52" s="181">
        <v>1.1299999999999999</v>
      </c>
      <c r="F52" s="181"/>
      <c r="G52" s="181"/>
      <c r="H52" s="235">
        <f t="shared" si="14"/>
        <v>0</v>
      </c>
    </row>
    <row r="53" spans="2:8">
      <c r="B53" s="529" t="s">
        <v>419</v>
      </c>
      <c r="C53" s="530"/>
      <c r="D53" s="181">
        <v>0.8</v>
      </c>
      <c r="E53" s="181">
        <v>1.1299999999999999</v>
      </c>
      <c r="F53" s="181"/>
      <c r="G53" s="181"/>
      <c r="H53" s="235">
        <f t="shared" si="14"/>
        <v>0</v>
      </c>
    </row>
    <row r="54" spans="2:8">
      <c r="B54" s="529" t="s">
        <v>420</v>
      </c>
      <c r="C54" s="530"/>
      <c r="D54" s="181">
        <v>1.2</v>
      </c>
      <c r="E54" s="181">
        <v>1.4</v>
      </c>
      <c r="F54" s="181"/>
      <c r="G54" s="181"/>
      <c r="H54" s="235">
        <f t="shared" si="14"/>
        <v>0</v>
      </c>
    </row>
    <row r="55" spans="2:8" ht="13.5" thickBot="1">
      <c r="B55" s="533" t="s">
        <v>421</v>
      </c>
      <c r="C55" s="534"/>
      <c r="D55" s="228"/>
      <c r="E55" s="228"/>
      <c r="F55" s="228"/>
      <c r="G55" s="228"/>
      <c r="H55" s="236">
        <f t="shared" si="14"/>
        <v>0</v>
      </c>
    </row>
  </sheetData>
  <mergeCells count="39">
    <mergeCell ref="B51:C51"/>
    <mergeCell ref="B52:C52"/>
    <mergeCell ref="B53:C53"/>
    <mergeCell ref="B54:C54"/>
    <mergeCell ref="B55:C55"/>
    <mergeCell ref="B46:C46"/>
    <mergeCell ref="B47:C47"/>
    <mergeCell ref="B48:C48"/>
    <mergeCell ref="B49:C49"/>
    <mergeCell ref="B50:C50"/>
    <mergeCell ref="B40:C40"/>
    <mergeCell ref="B42:C42"/>
    <mergeCell ref="B43:C43"/>
    <mergeCell ref="B44:C44"/>
    <mergeCell ref="B45:C45"/>
    <mergeCell ref="B41:C41"/>
    <mergeCell ref="H1:I1"/>
    <mergeCell ref="H2:I2"/>
    <mergeCell ref="H3:I3"/>
    <mergeCell ref="H4:I4"/>
    <mergeCell ref="D1:E1"/>
    <mergeCell ref="D2:E2"/>
    <mergeCell ref="D3:E3"/>
    <mergeCell ref="D4:E4"/>
    <mergeCell ref="D5:E5"/>
    <mergeCell ref="B6:AM6"/>
    <mergeCell ref="B7:C7"/>
    <mergeCell ref="D7:E7"/>
    <mergeCell ref="F7:G7"/>
    <mergeCell ref="L7:M7"/>
    <mergeCell ref="N7:O7"/>
    <mergeCell ref="P7:Q7"/>
    <mergeCell ref="X7:Y7"/>
    <mergeCell ref="AA7:AB7"/>
    <mergeCell ref="R7:S7"/>
    <mergeCell ref="T7:U7"/>
    <mergeCell ref="AG7:AH7"/>
    <mergeCell ref="AI7:AJ7"/>
    <mergeCell ref="AL7:AM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Q55"/>
  <sheetViews>
    <sheetView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AQ34" sqref="AQ34"/>
    </sheetView>
  </sheetViews>
  <sheetFormatPr defaultRowHeight="12.75"/>
  <cols>
    <col min="1" max="1" width="16.140625" customWidth="1"/>
    <col min="2" max="2" width="7.42578125" customWidth="1"/>
    <col min="3" max="3" width="7.28515625" customWidth="1"/>
    <col min="4" max="4" width="9.140625" customWidth="1"/>
    <col min="5" max="5" width="7.85546875" customWidth="1"/>
    <col min="6" max="6" width="6.85546875" customWidth="1"/>
    <col min="7" max="7" width="7.5703125" customWidth="1"/>
    <col min="8" max="8" width="11.140625" customWidth="1"/>
    <col min="9" max="10" width="13.28515625" customWidth="1"/>
    <col min="11" max="11" width="10.28515625" customWidth="1"/>
    <col min="12" max="12" width="6.5703125" customWidth="1"/>
    <col min="13" max="13" width="7.140625" customWidth="1"/>
    <col min="14" max="14" width="7.42578125" customWidth="1"/>
    <col min="15" max="17" width="7.85546875" customWidth="1"/>
    <col min="18" max="18" width="7.28515625" customWidth="1"/>
    <col min="19" max="19" width="6.85546875" customWidth="1"/>
    <col min="20" max="20" width="6.7109375" customWidth="1"/>
    <col min="21" max="21" width="6.140625" customWidth="1"/>
    <col min="22" max="22" width="9.85546875" customWidth="1"/>
    <col min="23" max="23" width="8.7109375" customWidth="1"/>
    <col min="24" max="25" width="6" customWidth="1"/>
    <col min="26" max="26" width="10.140625" customWidth="1"/>
    <col min="27" max="27" width="7" customWidth="1"/>
    <col min="28" max="28" width="7.28515625" customWidth="1"/>
    <col min="29" max="29" width="10.28515625" customWidth="1"/>
    <col min="30" max="30" width="11.28515625" customWidth="1"/>
    <col min="31" max="32" width="7.28515625" customWidth="1"/>
    <col min="33" max="33" width="10.42578125" customWidth="1"/>
    <col min="34" max="34" width="8" customWidth="1"/>
    <col min="35" max="35" width="7.28515625" customWidth="1"/>
    <col min="36" max="36" width="7.7109375" customWidth="1"/>
    <col min="37" max="37" width="8.140625" customWidth="1"/>
    <col min="38" max="38" width="10" customWidth="1"/>
    <col min="39" max="39" width="6.42578125" customWidth="1"/>
    <col min="40" max="40" width="6.7109375" customWidth="1"/>
    <col min="42" max="42" width="7.42578125" customWidth="1"/>
    <col min="43" max="43" width="8.28515625" customWidth="1"/>
  </cols>
  <sheetData>
    <row r="1" spans="1:43">
      <c r="A1" t="s">
        <v>346</v>
      </c>
      <c r="B1" s="182">
        <v>3.1</v>
      </c>
      <c r="D1" s="514" t="s">
        <v>370</v>
      </c>
      <c r="E1" s="514"/>
      <c r="F1">
        <f>0.2*0.2</f>
        <v>4.0000000000000008E-2</v>
      </c>
      <c r="H1" s="514" t="s">
        <v>383</v>
      </c>
      <c r="I1" s="514"/>
      <c r="J1">
        <v>0.1</v>
      </c>
    </row>
    <row r="2" spans="1:43">
      <c r="A2" s="191" t="s">
        <v>347</v>
      </c>
      <c r="B2">
        <v>0.15</v>
      </c>
      <c r="D2" s="514" t="s">
        <v>371</v>
      </c>
      <c r="E2" s="514"/>
      <c r="F2">
        <f>0.1*0.3</f>
        <v>0.03</v>
      </c>
      <c r="H2" s="524" t="s">
        <v>426</v>
      </c>
      <c r="I2" s="514"/>
      <c r="J2">
        <v>3</v>
      </c>
    </row>
    <row r="3" spans="1:43">
      <c r="A3" s="191" t="s">
        <v>350</v>
      </c>
      <c r="B3">
        <v>1.8</v>
      </c>
      <c r="D3" s="514" t="s">
        <v>377</v>
      </c>
      <c r="E3" s="514"/>
      <c r="F3">
        <v>3</v>
      </c>
      <c r="H3" s="524" t="s">
        <v>428</v>
      </c>
      <c r="I3" s="514"/>
      <c r="J3">
        <v>3.85</v>
      </c>
    </row>
    <row r="4" spans="1:43">
      <c r="A4" s="191" t="s">
        <v>363</v>
      </c>
      <c r="B4">
        <f>0.5*0.4</f>
        <v>0.2</v>
      </c>
      <c r="D4" s="514" t="s">
        <v>380</v>
      </c>
      <c r="E4" s="514"/>
      <c r="F4">
        <f>0.2</f>
        <v>0.2</v>
      </c>
      <c r="H4" s="524" t="s">
        <v>555</v>
      </c>
      <c r="I4" s="514"/>
      <c r="J4">
        <v>3.1</v>
      </c>
    </row>
    <row r="5" spans="1:43">
      <c r="A5" s="191" t="s">
        <v>366</v>
      </c>
      <c r="B5">
        <f>0.3*0.4</f>
        <v>0.12</v>
      </c>
      <c r="D5" s="514"/>
      <c r="E5" s="514"/>
    </row>
    <row r="6" spans="1:43" ht="13.5" thickBot="1">
      <c r="A6" s="181"/>
      <c r="B6" s="515" t="s">
        <v>320</v>
      </c>
      <c r="C6" s="515"/>
      <c r="D6" s="515"/>
      <c r="E6" s="515"/>
      <c r="F6" s="515"/>
      <c r="G6" s="515"/>
      <c r="H6" s="515"/>
      <c r="I6" s="515"/>
      <c r="J6" s="515"/>
      <c r="K6" s="515"/>
      <c r="L6" s="515"/>
      <c r="M6" s="515"/>
      <c r="N6" s="515"/>
      <c r="O6" s="515"/>
      <c r="P6" s="515"/>
      <c r="Q6" s="515"/>
      <c r="R6" s="515"/>
      <c r="S6" s="515"/>
      <c r="T6" s="515"/>
      <c r="U6" s="515"/>
      <c r="V6" s="515"/>
      <c r="W6" s="515"/>
      <c r="X6" s="515"/>
      <c r="Y6" s="515"/>
      <c r="Z6" s="515"/>
      <c r="AA6" s="515"/>
      <c r="AB6" s="515"/>
      <c r="AC6" s="515"/>
      <c r="AD6" s="515"/>
      <c r="AE6" s="515"/>
      <c r="AF6" s="515"/>
      <c r="AG6" s="515"/>
      <c r="AH6" s="515"/>
      <c r="AI6" s="515"/>
      <c r="AJ6" s="515"/>
      <c r="AK6" s="515"/>
      <c r="AL6" s="515"/>
      <c r="AM6" s="515"/>
      <c r="AN6" s="515"/>
    </row>
    <row r="7" spans="1:43" ht="44.25" customHeight="1" thickBot="1">
      <c r="A7" s="183"/>
      <c r="B7" s="516" t="s">
        <v>329</v>
      </c>
      <c r="C7" s="517"/>
      <c r="D7" s="518" t="s">
        <v>348</v>
      </c>
      <c r="E7" s="517"/>
      <c r="F7" s="518" t="s">
        <v>349</v>
      </c>
      <c r="G7" s="517"/>
      <c r="H7" s="198" t="s">
        <v>351</v>
      </c>
      <c r="I7" s="198" t="s">
        <v>358</v>
      </c>
      <c r="J7" s="198" t="s">
        <v>359</v>
      </c>
      <c r="K7" s="243" t="s">
        <v>355</v>
      </c>
      <c r="L7" s="519" t="s">
        <v>364</v>
      </c>
      <c r="M7" s="520"/>
      <c r="N7" s="519" t="s">
        <v>365</v>
      </c>
      <c r="O7" s="520"/>
      <c r="P7" s="519" t="s">
        <v>367</v>
      </c>
      <c r="Q7" s="521"/>
      <c r="R7" s="518" t="s">
        <v>381</v>
      </c>
      <c r="S7" s="523"/>
      <c r="T7" s="518" t="s">
        <v>382</v>
      </c>
      <c r="U7" s="522"/>
      <c r="V7" s="244" t="s">
        <v>368</v>
      </c>
      <c r="W7" s="243" t="s">
        <v>369</v>
      </c>
      <c r="X7" s="518" t="s">
        <v>372</v>
      </c>
      <c r="Y7" s="522"/>
      <c r="Z7" s="243" t="s">
        <v>375</v>
      </c>
      <c r="AA7" s="518" t="s">
        <v>376</v>
      </c>
      <c r="AB7" s="522"/>
      <c r="AC7" s="198" t="s">
        <v>378</v>
      </c>
      <c r="AD7" s="198" t="s">
        <v>402</v>
      </c>
      <c r="AE7" s="198" t="s">
        <v>403</v>
      </c>
      <c r="AF7" s="243" t="s">
        <v>404</v>
      </c>
      <c r="AG7" s="243" t="s">
        <v>562</v>
      </c>
      <c r="AH7" s="518" t="s">
        <v>425</v>
      </c>
      <c r="AI7" s="523"/>
      <c r="AJ7" s="518" t="s">
        <v>427</v>
      </c>
      <c r="AK7" s="522"/>
      <c r="AL7" s="198" t="s">
        <v>58</v>
      </c>
      <c r="AM7" s="518" t="s">
        <v>554</v>
      </c>
      <c r="AN7" s="522"/>
      <c r="AO7" s="258" t="s">
        <v>557</v>
      </c>
      <c r="AP7" s="518" t="s">
        <v>580</v>
      </c>
      <c r="AQ7" s="522"/>
    </row>
    <row r="8" spans="1:43">
      <c r="A8" s="183"/>
      <c r="B8" s="185" t="s">
        <v>191</v>
      </c>
      <c r="C8" s="194" t="s">
        <v>237</v>
      </c>
      <c r="D8" s="246" t="s">
        <v>224</v>
      </c>
      <c r="E8" s="196" t="s">
        <v>237</v>
      </c>
      <c r="F8" s="197"/>
      <c r="G8" s="194"/>
      <c r="H8" s="199"/>
      <c r="I8" s="199"/>
      <c r="J8" s="199"/>
      <c r="K8" s="213"/>
      <c r="L8" s="197" t="s">
        <v>191</v>
      </c>
      <c r="M8" s="194" t="s">
        <v>237</v>
      </c>
      <c r="N8" s="197" t="s">
        <v>191</v>
      </c>
      <c r="O8" s="194" t="s">
        <v>237</v>
      </c>
      <c r="P8" s="197" t="s">
        <v>191</v>
      </c>
      <c r="Q8" s="223" t="s">
        <v>237</v>
      </c>
      <c r="R8" s="197" t="s">
        <v>224</v>
      </c>
      <c r="S8" s="223" t="s">
        <v>237</v>
      </c>
      <c r="T8" s="197" t="s">
        <v>224</v>
      </c>
      <c r="U8" s="194" t="s">
        <v>237</v>
      </c>
      <c r="V8" s="208"/>
      <c r="W8" s="213"/>
      <c r="X8" s="197" t="s">
        <v>191</v>
      </c>
      <c r="Y8" s="194" t="s">
        <v>237</v>
      </c>
      <c r="Z8" s="213"/>
      <c r="AA8" s="197" t="s">
        <v>191</v>
      </c>
      <c r="AB8" s="194" t="s">
        <v>237</v>
      </c>
      <c r="AC8" s="199"/>
      <c r="AD8" s="199"/>
      <c r="AE8" s="199"/>
      <c r="AF8" s="213"/>
      <c r="AG8" s="213"/>
      <c r="AH8" s="197" t="s">
        <v>191</v>
      </c>
      <c r="AI8" s="223" t="s">
        <v>237</v>
      </c>
      <c r="AJ8" s="197" t="s">
        <v>191</v>
      </c>
      <c r="AK8" s="194" t="s">
        <v>237</v>
      </c>
      <c r="AL8" s="199"/>
      <c r="AM8" s="197" t="s">
        <v>191</v>
      </c>
      <c r="AN8" s="223" t="s">
        <v>237</v>
      </c>
      <c r="AO8" s="259"/>
      <c r="AP8" s="197" t="s">
        <v>191</v>
      </c>
      <c r="AQ8" s="194" t="s">
        <v>237</v>
      </c>
    </row>
    <row r="9" spans="1:43" ht="5.25" customHeight="1">
      <c r="A9" s="183"/>
      <c r="B9" s="185"/>
      <c r="C9" s="186"/>
      <c r="D9" s="187"/>
      <c r="E9" s="186"/>
      <c r="F9" s="187"/>
      <c r="G9" s="186"/>
      <c r="H9" s="200"/>
      <c r="I9" s="200"/>
      <c r="J9" s="200"/>
      <c r="K9" s="214"/>
      <c r="L9" s="187"/>
      <c r="M9" s="186"/>
      <c r="N9" s="187"/>
      <c r="O9" s="186"/>
      <c r="P9" s="187"/>
      <c r="Q9" s="183"/>
      <c r="R9" s="187"/>
      <c r="S9" s="183"/>
      <c r="T9" s="200"/>
      <c r="U9" s="209"/>
      <c r="V9" s="209"/>
      <c r="W9" s="214"/>
      <c r="X9" s="214"/>
      <c r="Y9" s="209"/>
      <c r="Z9" s="214"/>
      <c r="AA9" s="214"/>
      <c r="AB9" s="209"/>
      <c r="AC9" s="200"/>
      <c r="AD9" s="200"/>
      <c r="AE9" s="200"/>
      <c r="AF9" s="214"/>
      <c r="AG9" s="214"/>
      <c r="AH9" s="187"/>
      <c r="AI9" s="212"/>
      <c r="AJ9" s="214"/>
      <c r="AK9" s="209"/>
      <c r="AL9" s="200"/>
      <c r="AM9" s="214"/>
      <c r="AN9" s="212"/>
      <c r="AO9" s="200"/>
      <c r="AP9" s="214"/>
      <c r="AQ9" s="209"/>
    </row>
    <row r="10" spans="1:43">
      <c r="A10" s="183" t="s">
        <v>330</v>
      </c>
      <c r="B10" s="188"/>
      <c r="C10" s="189">
        <f>B10*$B$1*$B$2</f>
        <v>0</v>
      </c>
      <c r="D10" s="188"/>
      <c r="E10" s="189">
        <f>D10*1</f>
        <v>0</v>
      </c>
      <c r="F10" s="188"/>
      <c r="G10" s="189">
        <f>F10*$B$1</f>
        <v>0</v>
      </c>
      <c r="H10" s="201"/>
      <c r="I10" s="201"/>
      <c r="J10" s="201"/>
      <c r="K10" s="214"/>
      <c r="L10" s="187">
        <v>20.2</v>
      </c>
      <c r="M10" s="189">
        <f t="shared" ref="M10:M34" si="0">L10*$B$4</f>
        <v>4.04</v>
      </c>
      <c r="N10" s="187">
        <v>20.2</v>
      </c>
      <c r="O10" s="189">
        <f>N10*$B$5</f>
        <v>2.4239999999999999</v>
      </c>
      <c r="P10" s="187">
        <v>20.2</v>
      </c>
      <c r="Q10" s="224">
        <f>P10*$F$1</f>
        <v>0.80800000000000016</v>
      </c>
      <c r="R10" s="188">
        <v>28.75</v>
      </c>
      <c r="S10" s="224">
        <f>R10*$F$4</f>
        <v>5.75</v>
      </c>
      <c r="T10" s="188"/>
      <c r="U10" s="189"/>
      <c r="V10" s="210"/>
      <c r="W10" s="219"/>
      <c r="X10" s="187">
        <v>20.2</v>
      </c>
      <c r="Y10" s="189">
        <f>X10*$F$2</f>
        <v>0.60599999999999998</v>
      </c>
      <c r="Z10" s="219"/>
      <c r="AA10" s="187">
        <v>9.11</v>
      </c>
      <c r="AB10" s="189">
        <f>AA10*$F$3</f>
        <v>27.33</v>
      </c>
      <c r="AC10" s="201"/>
      <c r="AD10" s="201"/>
      <c r="AE10" s="201"/>
      <c r="AF10" s="219"/>
      <c r="AG10" s="188">
        <v>28.75</v>
      </c>
      <c r="AH10" s="188"/>
      <c r="AI10" s="218"/>
      <c r="AJ10" s="188"/>
      <c r="AK10" s="189">
        <f>AJ10*$J$3</f>
        <v>0</v>
      </c>
      <c r="AL10" s="188">
        <v>28.75</v>
      </c>
      <c r="AM10" s="219"/>
      <c r="AN10" s="183">
        <f>AM10*$J$4</f>
        <v>0</v>
      </c>
      <c r="AO10" s="200"/>
      <c r="AP10" s="219"/>
      <c r="AQ10" s="186">
        <f>AP10*$J$4</f>
        <v>0</v>
      </c>
    </row>
    <row r="11" spans="1:43">
      <c r="A11" s="183" t="s">
        <v>331</v>
      </c>
      <c r="B11" s="188"/>
      <c r="C11" s="189">
        <f t="shared" ref="C11:C33" si="1">B11*$B$1*$B$2</f>
        <v>0</v>
      </c>
      <c r="D11" s="188"/>
      <c r="E11" s="189">
        <f t="shared" ref="E11:E33" si="2">D11*1</f>
        <v>0</v>
      </c>
      <c r="F11" s="188"/>
      <c r="G11" s="189">
        <f t="shared" ref="G11:G33" si="3">F11*$B$1</f>
        <v>0</v>
      </c>
      <c r="H11" s="201"/>
      <c r="I11" s="201"/>
      <c r="J11" s="201"/>
      <c r="K11" s="214"/>
      <c r="L11" s="187"/>
      <c r="M11" s="189">
        <f t="shared" si="0"/>
        <v>0</v>
      </c>
      <c r="N11" s="187"/>
      <c r="O11" s="189">
        <f t="shared" ref="O11:O33" si="4">N11*$B$5</f>
        <v>0</v>
      </c>
      <c r="P11" s="187"/>
      <c r="Q11" s="224">
        <f t="shared" ref="Q11:Q33" si="5">P11*$F$1</f>
        <v>0</v>
      </c>
      <c r="R11" s="188"/>
      <c r="S11" s="224">
        <f t="shared" ref="S11:S33" si="6">R11*$F$4</f>
        <v>0</v>
      </c>
      <c r="T11" s="188"/>
      <c r="U11" s="189"/>
      <c r="V11" s="210"/>
      <c r="W11" s="219"/>
      <c r="X11" s="187"/>
      <c r="Y11" s="189">
        <f t="shared" ref="Y11:Y33" si="7">X11*$F$2</f>
        <v>0</v>
      </c>
      <c r="Z11" s="219"/>
      <c r="AA11" s="187"/>
      <c r="AB11" s="189">
        <f t="shared" ref="AB11:AB33" si="8">AA11*$F$3</f>
        <v>0</v>
      </c>
      <c r="AC11" s="201"/>
      <c r="AD11" s="201"/>
      <c r="AE11" s="201"/>
      <c r="AF11" s="219"/>
      <c r="AG11" s="188"/>
      <c r="AH11" s="188"/>
      <c r="AI11" s="218"/>
      <c r="AJ11" s="188"/>
      <c r="AK11" s="189">
        <f t="shared" ref="AK11:AK34" si="9">AJ11*$J$3</f>
        <v>0</v>
      </c>
      <c r="AL11" s="188"/>
      <c r="AM11" s="219"/>
      <c r="AN11" s="183">
        <f t="shared" ref="AN11:AN35" si="10">AM11*$J$4</f>
        <v>0</v>
      </c>
      <c r="AO11" s="200"/>
      <c r="AP11" s="219">
        <v>11.6</v>
      </c>
      <c r="AQ11" s="186">
        <v>34.799999999999997</v>
      </c>
    </row>
    <row r="12" spans="1:43">
      <c r="A12" s="183" t="s">
        <v>265</v>
      </c>
      <c r="B12" s="188"/>
      <c r="C12" s="189">
        <f t="shared" si="1"/>
        <v>0</v>
      </c>
      <c r="D12" s="188"/>
      <c r="E12" s="189">
        <f t="shared" si="2"/>
        <v>0</v>
      </c>
      <c r="F12" s="188"/>
      <c r="G12" s="189">
        <f t="shared" si="3"/>
        <v>0</v>
      </c>
      <c r="H12" s="201"/>
      <c r="I12" s="201"/>
      <c r="J12" s="201"/>
      <c r="K12" s="214"/>
      <c r="L12" s="187">
        <v>29.08</v>
      </c>
      <c r="M12" s="189">
        <f t="shared" si="0"/>
        <v>5.8159999999999998</v>
      </c>
      <c r="N12" s="187">
        <v>29.08</v>
      </c>
      <c r="O12" s="189">
        <f t="shared" si="4"/>
        <v>3.4895999999999998</v>
      </c>
      <c r="P12" s="187">
        <v>29.08</v>
      </c>
      <c r="Q12" s="224">
        <f t="shared" si="5"/>
        <v>1.1632000000000002</v>
      </c>
      <c r="R12" s="188">
        <v>47.85</v>
      </c>
      <c r="S12" s="224">
        <f t="shared" si="6"/>
        <v>9.57</v>
      </c>
      <c r="T12" s="188"/>
      <c r="U12" s="189"/>
      <c r="V12" s="210"/>
      <c r="W12" s="219">
        <f>3.4+1.6</f>
        <v>5</v>
      </c>
      <c r="X12" s="187">
        <v>29.08</v>
      </c>
      <c r="Y12" s="189">
        <f t="shared" si="7"/>
        <v>0.87239999999999995</v>
      </c>
      <c r="Z12" s="219"/>
      <c r="AA12" s="187">
        <v>21.08</v>
      </c>
      <c r="AB12" s="189">
        <f t="shared" si="8"/>
        <v>63.239999999999995</v>
      </c>
      <c r="AC12" s="201"/>
      <c r="AD12" s="201"/>
      <c r="AE12" s="201"/>
      <c r="AF12" s="219"/>
      <c r="AG12" s="188">
        <v>47.85</v>
      </c>
      <c r="AH12" s="188"/>
      <c r="AI12" s="218"/>
      <c r="AJ12" s="188"/>
      <c r="AK12" s="189">
        <f t="shared" si="9"/>
        <v>0</v>
      </c>
      <c r="AL12" s="188">
        <v>47.85</v>
      </c>
      <c r="AM12" s="219"/>
      <c r="AN12" s="183">
        <f t="shared" si="10"/>
        <v>0</v>
      </c>
      <c r="AO12" s="200"/>
      <c r="AP12" s="219"/>
      <c r="AQ12" s="186">
        <f t="shared" ref="AQ12:AQ35" si="11">AP12*$J$4</f>
        <v>0</v>
      </c>
    </row>
    <row r="13" spans="1:43">
      <c r="A13" s="183" t="s">
        <v>332</v>
      </c>
      <c r="B13" s="188"/>
      <c r="C13" s="189">
        <f t="shared" si="1"/>
        <v>0</v>
      </c>
      <c r="D13" s="188"/>
      <c r="E13" s="189">
        <f t="shared" si="2"/>
        <v>0</v>
      </c>
      <c r="F13" s="188"/>
      <c r="G13" s="189">
        <f t="shared" si="3"/>
        <v>0</v>
      </c>
      <c r="H13" s="201"/>
      <c r="I13" s="201"/>
      <c r="J13" s="201"/>
      <c r="K13" s="214"/>
      <c r="L13" s="187">
        <v>16.2</v>
      </c>
      <c r="M13" s="189">
        <f t="shared" si="0"/>
        <v>3.24</v>
      </c>
      <c r="N13" s="187">
        <v>16.2</v>
      </c>
      <c r="O13" s="189">
        <f t="shared" si="4"/>
        <v>1.944</v>
      </c>
      <c r="P13" s="187">
        <v>16.2</v>
      </c>
      <c r="Q13" s="224">
        <f t="shared" si="5"/>
        <v>0.64800000000000013</v>
      </c>
      <c r="R13" s="188">
        <v>14</v>
      </c>
      <c r="S13" s="224">
        <f t="shared" si="6"/>
        <v>2.8000000000000003</v>
      </c>
      <c r="T13" s="188"/>
      <c r="U13" s="189"/>
      <c r="V13" s="210">
        <v>1.2</v>
      </c>
      <c r="W13" s="219">
        <v>1.6</v>
      </c>
      <c r="X13" s="187">
        <v>16.2</v>
      </c>
      <c r="Y13" s="189">
        <f t="shared" si="7"/>
        <v>0.48599999999999999</v>
      </c>
      <c r="Z13" s="219"/>
      <c r="AA13" s="187">
        <v>16.2</v>
      </c>
      <c r="AB13" s="189">
        <f t="shared" si="8"/>
        <v>48.599999999999994</v>
      </c>
      <c r="AC13" s="201"/>
      <c r="AD13" s="201"/>
      <c r="AE13" s="201"/>
      <c r="AF13" s="219"/>
      <c r="AG13" s="188">
        <v>14</v>
      </c>
      <c r="AH13" s="188"/>
      <c r="AI13" s="218"/>
      <c r="AJ13" s="188"/>
      <c r="AK13" s="189">
        <f t="shared" si="9"/>
        <v>0</v>
      </c>
      <c r="AL13" s="188">
        <v>14</v>
      </c>
      <c r="AM13" s="219"/>
      <c r="AN13" s="183">
        <f t="shared" si="10"/>
        <v>0</v>
      </c>
      <c r="AO13" s="200"/>
      <c r="AP13" s="219">
        <v>15</v>
      </c>
      <c r="AQ13" s="186">
        <v>45</v>
      </c>
    </row>
    <row r="14" spans="1:43">
      <c r="A14" s="183" t="s">
        <v>264</v>
      </c>
      <c r="B14" s="188"/>
      <c r="C14" s="189">
        <f t="shared" si="1"/>
        <v>0</v>
      </c>
      <c r="D14" s="188"/>
      <c r="E14" s="189">
        <f t="shared" si="2"/>
        <v>0</v>
      </c>
      <c r="F14" s="188"/>
      <c r="G14" s="189">
        <f t="shared" si="3"/>
        <v>0</v>
      </c>
      <c r="H14" s="201"/>
      <c r="I14" s="201"/>
      <c r="J14" s="201"/>
      <c r="K14" s="214"/>
      <c r="L14" s="187">
        <v>9.3000000000000007</v>
      </c>
      <c r="M14" s="189">
        <f t="shared" si="0"/>
        <v>1.8600000000000003</v>
      </c>
      <c r="N14" s="187">
        <v>9.3000000000000007</v>
      </c>
      <c r="O14" s="189">
        <f t="shared" si="4"/>
        <v>1.1160000000000001</v>
      </c>
      <c r="P14" s="187">
        <v>9.3000000000000007</v>
      </c>
      <c r="Q14" s="224">
        <f t="shared" si="5"/>
        <v>0.37200000000000011</v>
      </c>
      <c r="R14" s="188">
        <v>9.1</v>
      </c>
      <c r="S14" s="224">
        <f t="shared" si="6"/>
        <v>1.82</v>
      </c>
      <c r="T14" s="188"/>
      <c r="U14" s="189"/>
      <c r="V14" s="210">
        <v>1.2</v>
      </c>
      <c r="W14" s="219">
        <v>1.6</v>
      </c>
      <c r="X14" s="187">
        <v>9.3000000000000007</v>
      </c>
      <c r="Y14" s="189">
        <f t="shared" si="7"/>
        <v>0.27900000000000003</v>
      </c>
      <c r="Z14" s="219"/>
      <c r="AA14" s="187">
        <v>9.3000000000000007</v>
      </c>
      <c r="AB14" s="189">
        <f t="shared" si="8"/>
        <v>27.900000000000002</v>
      </c>
      <c r="AC14" s="201">
        <f>1.04*0.6</f>
        <v>0.624</v>
      </c>
      <c r="AD14" s="201"/>
      <c r="AE14" s="201"/>
      <c r="AF14" s="219"/>
      <c r="AG14" s="188">
        <v>9.1</v>
      </c>
      <c r="AH14" s="188"/>
      <c r="AI14" s="218"/>
      <c r="AJ14" s="188"/>
      <c r="AK14" s="189">
        <f t="shared" si="9"/>
        <v>0</v>
      </c>
      <c r="AL14" s="188">
        <v>9.1</v>
      </c>
      <c r="AM14" s="219"/>
      <c r="AN14" s="183">
        <f t="shared" si="10"/>
        <v>0</v>
      </c>
      <c r="AO14" s="200"/>
      <c r="AP14" s="219">
        <v>12.2</v>
      </c>
      <c r="AQ14" s="186">
        <v>36.6</v>
      </c>
    </row>
    <row r="15" spans="1:43">
      <c r="A15" s="183" t="s">
        <v>333</v>
      </c>
      <c r="B15" s="188"/>
      <c r="C15" s="189">
        <f t="shared" si="1"/>
        <v>0</v>
      </c>
      <c r="D15" s="188"/>
      <c r="E15" s="189">
        <f t="shared" si="2"/>
        <v>0</v>
      </c>
      <c r="F15" s="188"/>
      <c r="G15" s="189">
        <f t="shared" si="3"/>
        <v>0</v>
      </c>
      <c r="H15" s="201"/>
      <c r="I15" s="201"/>
      <c r="J15" s="201"/>
      <c r="K15" s="214"/>
      <c r="L15" s="187">
        <v>6.52</v>
      </c>
      <c r="M15" s="189">
        <f t="shared" si="0"/>
        <v>1.304</v>
      </c>
      <c r="N15" s="187">
        <v>6.52</v>
      </c>
      <c r="O15" s="189">
        <f t="shared" si="4"/>
        <v>0.78239999999999987</v>
      </c>
      <c r="P15" s="187">
        <v>6.52</v>
      </c>
      <c r="Q15" s="224">
        <f t="shared" si="5"/>
        <v>0.26080000000000003</v>
      </c>
      <c r="R15" s="188">
        <v>3.4</v>
      </c>
      <c r="S15" s="224">
        <f t="shared" si="6"/>
        <v>0.68</v>
      </c>
      <c r="T15" s="188"/>
      <c r="U15" s="189"/>
      <c r="V15" s="210">
        <v>1.3</v>
      </c>
      <c r="W15" s="219">
        <v>0.9</v>
      </c>
      <c r="X15" s="187">
        <v>6.52</v>
      </c>
      <c r="Y15" s="189">
        <f t="shared" si="7"/>
        <v>0.19559999999999997</v>
      </c>
      <c r="Z15" s="219"/>
      <c r="AA15" s="187">
        <v>6.52</v>
      </c>
      <c r="AB15" s="189">
        <f t="shared" si="8"/>
        <v>19.559999999999999</v>
      </c>
      <c r="AC15" s="201"/>
      <c r="AD15" s="201"/>
      <c r="AE15" s="201"/>
      <c r="AF15" s="219"/>
      <c r="AG15" s="188">
        <v>3.4</v>
      </c>
      <c r="AH15" s="188"/>
      <c r="AI15" s="218">
        <f>AH15*$J$2</f>
        <v>0</v>
      </c>
      <c r="AJ15" s="188"/>
      <c r="AK15" s="189">
        <f t="shared" si="9"/>
        <v>0</v>
      </c>
      <c r="AL15" s="188">
        <v>3.4</v>
      </c>
      <c r="AM15" s="219"/>
      <c r="AN15" s="183">
        <f t="shared" si="10"/>
        <v>0</v>
      </c>
      <c r="AO15" s="200"/>
      <c r="AP15" s="219"/>
      <c r="AQ15" s="186">
        <f t="shared" si="11"/>
        <v>0</v>
      </c>
    </row>
    <row r="16" spans="1:43">
      <c r="A16" s="183" t="s">
        <v>334</v>
      </c>
      <c r="B16" s="188"/>
      <c r="C16" s="189">
        <f t="shared" si="1"/>
        <v>0</v>
      </c>
      <c r="D16" s="188"/>
      <c r="E16" s="189">
        <f t="shared" si="2"/>
        <v>0</v>
      </c>
      <c r="F16" s="188"/>
      <c r="G16" s="189">
        <f t="shared" si="3"/>
        <v>0</v>
      </c>
      <c r="H16" s="201"/>
      <c r="I16" s="201"/>
      <c r="J16" s="201"/>
      <c r="K16" s="214"/>
      <c r="L16" s="187">
        <v>6.52</v>
      </c>
      <c r="M16" s="189">
        <f t="shared" si="0"/>
        <v>1.304</v>
      </c>
      <c r="N16" s="187">
        <v>6.52</v>
      </c>
      <c r="O16" s="189">
        <f t="shared" si="4"/>
        <v>0.78239999999999987</v>
      </c>
      <c r="P16" s="187">
        <v>6.52</v>
      </c>
      <c r="Q16" s="224">
        <f t="shared" si="5"/>
        <v>0.26080000000000003</v>
      </c>
      <c r="R16" s="188">
        <v>3.4</v>
      </c>
      <c r="S16" s="224">
        <f t="shared" si="6"/>
        <v>0.68</v>
      </c>
      <c r="T16" s="188"/>
      <c r="U16" s="189"/>
      <c r="V16" s="210">
        <v>1.3</v>
      </c>
      <c r="W16" s="219">
        <v>0.9</v>
      </c>
      <c r="X16" s="187">
        <v>6.52</v>
      </c>
      <c r="Y16" s="189">
        <f t="shared" si="7"/>
        <v>0.19559999999999997</v>
      </c>
      <c r="Z16" s="219"/>
      <c r="AA16" s="187">
        <v>6.52</v>
      </c>
      <c r="AB16" s="189">
        <f t="shared" si="8"/>
        <v>19.559999999999999</v>
      </c>
      <c r="AC16" s="201"/>
      <c r="AD16" s="201"/>
      <c r="AE16" s="201"/>
      <c r="AF16" s="219"/>
      <c r="AG16" s="188">
        <v>3.4</v>
      </c>
      <c r="AH16" s="188"/>
      <c r="AI16" s="218">
        <f t="shared" ref="AI16:AI33" si="12">AH16*$J$2</f>
        <v>0</v>
      </c>
      <c r="AJ16" s="188"/>
      <c r="AK16" s="189">
        <f t="shared" si="9"/>
        <v>0</v>
      </c>
      <c r="AL16" s="188">
        <v>3.4</v>
      </c>
      <c r="AM16" s="219"/>
      <c r="AN16" s="183">
        <f t="shared" si="10"/>
        <v>0</v>
      </c>
      <c r="AO16" s="200"/>
      <c r="AP16" s="219"/>
      <c r="AQ16" s="186">
        <f t="shared" si="11"/>
        <v>0</v>
      </c>
    </row>
    <row r="17" spans="1:43">
      <c r="A17" s="183" t="s">
        <v>223</v>
      </c>
      <c r="B17" s="188"/>
      <c r="C17" s="189">
        <f t="shared" si="1"/>
        <v>0</v>
      </c>
      <c r="D17" s="188"/>
      <c r="E17" s="189">
        <f t="shared" si="2"/>
        <v>0</v>
      </c>
      <c r="F17" s="188"/>
      <c r="G17" s="189">
        <f t="shared" si="3"/>
        <v>0</v>
      </c>
      <c r="H17" s="201"/>
      <c r="I17" s="201"/>
      <c r="J17" s="201"/>
      <c r="K17" s="214"/>
      <c r="L17" s="187">
        <v>6.3</v>
      </c>
      <c r="M17" s="189">
        <f t="shared" si="0"/>
        <v>1.26</v>
      </c>
      <c r="N17" s="187">
        <v>6.3</v>
      </c>
      <c r="O17" s="189">
        <f t="shared" si="4"/>
        <v>0.75600000000000001</v>
      </c>
      <c r="P17" s="187">
        <v>6.3</v>
      </c>
      <c r="Q17" s="224">
        <f t="shared" si="5"/>
        <v>0.25200000000000006</v>
      </c>
      <c r="R17" s="188">
        <v>4</v>
      </c>
      <c r="S17" s="224">
        <f t="shared" si="6"/>
        <v>0.8</v>
      </c>
      <c r="T17" s="188"/>
      <c r="U17" s="189"/>
      <c r="V17" s="210">
        <v>1.2</v>
      </c>
      <c r="W17" s="219">
        <v>0.9</v>
      </c>
      <c r="X17" s="187">
        <v>6.3</v>
      </c>
      <c r="Y17" s="189">
        <f t="shared" si="7"/>
        <v>0.189</v>
      </c>
      <c r="Z17" s="219"/>
      <c r="AA17" s="187">
        <v>6.3</v>
      </c>
      <c r="AB17" s="189">
        <f t="shared" si="8"/>
        <v>18.899999999999999</v>
      </c>
      <c r="AC17" s="201">
        <f>1.6*0.6</f>
        <v>0.96</v>
      </c>
      <c r="AD17" s="201"/>
      <c r="AE17" s="201"/>
      <c r="AF17" s="219"/>
      <c r="AG17" s="188">
        <v>4</v>
      </c>
      <c r="AH17" s="188">
        <v>8.1999999999999993</v>
      </c>
      <c r="AI17" s="218">
        <f t="shared" si="12"/>
        <v>24.599999999999998</v>
      </c>
      <c r="AJ17" s="188"/>
      <c r="AK17" s="189">
        <f t="shared" si="9"/>
        <v>0</v>
      </c>
      <c r="AL17" s="188">
        <v>4</v>
      </c>
      <c r="AM17" s="219"/>
      <c r="AN17" s="183">
        <f t="shared" si="10"/>
        <v>0</v>
      </c>
      <c r="AO17" s="200"/>
      <c r="AP17" s="219">
        <v>7.64</v>
      </c>
      <c r="AQ17" s="186">
        <v>22.92</v>
      </c>
    </row>
    <row r="18" spans="1:43">
      <c r="A18" s="183" t="s">
        <v>335</v>
      </c>
      <c r="B18" s="188">
        <f>1.24+1.24</f>
        <v>2.48</v>
      </c>
      <c r="C18" s="189">
        <f t="shared" si="1"/>
        <v>1.1532</v>
      </c>
      <c r="D18" s="188">
        <v>5.18</v>
      </c>
      <c r="E18" s="189">
        <f t="shared" si="2"/>
        <v>5.18</v>
      </c>
      <c r="F18" s="188"/>
      <c r="G18" s="189">
        <f t="shared" si="3"/>
        <v>0</v>
      </c>
      <c r="H18" s="201"/>
      <c r="I18" s="201"/>
      <c r="J18" s="201"/>
      <c r="K18" s="214"/>
      <c r="L18" s="187">
        <v>12.15</v>
      </c>
      <c r="M18" s="189">
        <f t="shared" si="0"/>
        <v>2.4300000000000002</v>
      </c>
      <c r="N18" s="187">
        <v>12.15</v>
      </c>
      <c r="O18" s="189">
        <f t="shared" si="4"/>
        <v>1.458</v>
      </c>
      <c r="P18" s="187">
        <v>12.15</v>
      </c>
      <c r="Q18" s="224">
        <f t="shared" si="5"/>
        <v>0.4860000000000001</v>
      </c>
      <c r="R18" s="188">
        <v>37.06</v>
      </c>
      <c r="S18" s="224">
        <f t="shared" si="6"/>
        <v>7.4120000000000008</v>
      </c>
      <c r="T18" s="188"/>
      <c r="U18" s="189">
        <f>T18*$J$1</f>
        <v>0</v>
      </c>
      <c r="V18" s="210"/>
      <c r="W18" s="219"/>
      <c r="X18" s="187">
        <v>12.15</v>
      </c>
      <c r="Y18" s="189">
        <f t="shared" si="7"/>
        <v>0.36449999999999999</v>
      </c>
      <c r="Z18" s="219"/>
      <c r="AA18" s="187">
        <v>9.15</v>
      </c>
      <c r="AB18" s="189">
        <f t="shared" si="8"/>
        <v>27.450000000000003</v>
      </c>
      <c r="AC18" s="201"/>
      <c r="AD18" s="201"/>
      <c r="AE18" s="201"/>
      <c r="AF18" s="219"/>
      <c r="AG18" s="188">
        <v>37.06</v>
      </c>
      <c r="AH18" s="188"/>
      <c r="AI18" s="218">
        <f t="shared" si="12"/>
        <v>0</v>
      </c>
      <c r="AJ18" s="188"/>
      <c r="AK18" s="189">
        <f t="shared" si="9"/>
        <v>0</v>
      </c>
      <c r="AL18" s="188">
        <v>37.06</v>
      </c>
      <c r="AM18" s="219"/>
      <c r="AN18" s="183">
        <f t="shared" si="10"/>
        <v>0</v>
      </c>
      <c r="AO18" s="200"/>
      <c r="AP18" s="219"/>
      <c r="AQ18" s="186">
        <f t="shared" si="11"/>
        <v>0</v>
      </c>
    </row>
    <row r="19" spans="1:43">
      <c r="A19" s="240" t="s">
        <v>429</v>
      </c>
      <c r="B19" s="188"/>
      <c r="C19" s="189">
        <f t="shared" si="1"/>
        <v>0</v>
      </c>
      <c r="D19" s="188"/>
      <c r="E19" s="189">
        <f t="shared" si="2"/>
        <v>0</v>
      </c>
      <c r="F19" s="188"/>
      <c r="G19" s="189">
        <f t="shared" si="3"/>
        <v>0</v>
      </c>
      <c r="H19" s="201"/>
      <c r="I19" s="201"/>
      <c r="J19" s="201"/>
      <c r="K19" s="214"/>
      <c r="L19" s="187"/>
      <c r="M19" s="189">
        <f t="shared" si="0"/>
        <v>0</v>
      </c>
      <c r="N19" s="187"/>
      <c r="O19" s="189">
        <f t="shared" si="4"/>
        <v>0</v>
      </c>
      <c r="P19" s="187"/>
      <c r="Q19" s="224">
        <f t="shared" si="5"/>
        <v>0</v>
      </c>
      <c r="R19" s="188"/>
      <c r="S19" s="224">
        <f t="shared" si="6"/>
        <v>0</v>
      </c>
      <c r="T19" s="188"/>
      <c r="U19" s="189">
        <f t="shared" ref="U19:U33" si="13">T19*$J$1</f>
        <v>0</v>
      </c>
      <c r="V19" s="210"/>
      <c r="W19" s="219"/>
      <c r="X19" s="187"/>
      <c r="Y19" s="189">
        <f t="shared" si="7"/>
        <v>0</v>
      </c>
      <c r="Z19" s="219"/>
      <c r="AA19" s="187"/>
      <c r="AB19" s="189">
        <f t="shared" si="8"/>
        <v>0</v>
      </c>
      <c r="AC19" s="201"/>
      <c r="AD19" s="201"/>
      <c r="AE19" s="201"/>
      <c r="AF19" s="219"/>
      <c r="AG19" s="188"/>
      <c r="AH19" s="188"/>
      <c r="AI19" s="218">
        <f t="shared" si="12"/>
        <v>0</v>
      </c>
      <c r="AJ19" s="188"/>
      <c r="AK19" s="189">
        <f t="shared" si="9"/>
        <v>0</v>
      </c>
      <c r="AL19" s="188"/>
      <c r="AM19" s="219">
        <f>10.84</f>
        <v>10.84</v>
      </c>
      <c r="AN19" s="183">
        <f t="shared" si="10"/>
        <v>33.603999999999999</v>
      </c>
      <c r="AO19" s="200"/>
      <c r="AP19" s="219"/>
      <c r="AQ19" s="186">
        <f t="shared" si="11"/>
        <v>0</v>
      </c>
    </row>
    <row r="20" spans="1:43" ht="30" customHeight="1">
      <c r="A20" s="184" t="s">
        <v>336</v>
      </c>
      <c r="B20" s="188">
        <v>4</v>
      </c>
      <c r="C20" s="189">
        <f t="shared" si="1"/>
        <v>1.8599999999999999</v>
      </c>
      <c r="D20" s="188">
        <v>11.28</v>
      </c>
      <c r="E20" s="189">
        <f t="shared" si="2"/>
        <v>11.28</v>
      </c>
      <c r="F20" s="188"/>
      <c r="G20" s="189">
        <f t="shared" si="3"/>
        <v>0</v>
      </c>
      <c r="H20" s="201"/>
      <c r="I20" s="201">
        <f>(0.8*2.1)</f>
        <v>1.6800000000000002</v>
      </c>
      <c r="J20" s="201">
        <f>(1.2*1.1)+(1*1.1)</f>
        <v>2.42</v>
      </c>
      <c r="K20" s="214"/>
      <c r="L20" s="187">
        <v>0</v>
      </c>
      <c r="M20" s="189">
        <f t="shared" si="0"/>
        <v>0</v>
      </c>
      <c r="N20" s="187">
        <v>0</v>
      </c>
      <c r="O20" s="189">
        <f t="shared" si="4"/>
        <v>0</v>
      </c>
      <c r="P20" s="187">
        <v>0</v>
      </c>
      <c r="Q20" s="224">
        <f t="shared" si="5"/>
        <v>0</v>
      </c>
      <c r="R20" s="188">
        <v>0</v>
      </c>
      <c r="S20" s="224">
        <f t="shared" si="6"/>
        <v>0</v>
      </c>
      <c r="T20" s="188">
        <v>0</v>
      </c>
      <c r="U20" s="189">
        <f t="shared" si="13"/>
        <v>0</v>
      </c>
      <c r="V20" s="210">
        <v>0</v>
      </c>
      <c r="W20" s="219">
        <v>0</v>
      </c>
      <c r="X20" s="187">
        <v>0</v>
      </c>
      <c r="Y20" s="189">
        <f t="shared" si="7"/>
        <v>0</v>
      </c>
      <c r="Z20" s="219"/>
      <c r="AA20" s="187">
        <v>0</v>
      </c>
      <c r="AB20" s="189">
        <f t="shared" si="8"/>
        <v>0</v>
      </c>
      <c r="AC20" s="201">
        <v>2.2000000000000002</v>
      </c>
      <c r="AD20" s="201"/>
      <c r="AE20" s="201"/>
      <c r="AF20" s="219"/>
      <c r="AG20" s="188">
        <v>0</v>
      </c>
      <c r="AH20" s="188"/>
      <c r="AI20" s="218">
        <f t="shared" si="12"/>
        <v>0</v>
      </c>
      <c r="AJ20" s="188"/>
      <c r="AK20" s="189">
        <f t="shared" si="9"/>
        <v>0</v>
      </c>
      <c r="AL20" s="188">
        <v>0</v>
      </c>
      <c r="AM20" s="219">
        <v>16.100000000000001</v>
      </c>
      <c r="AN20" s="183">
        <f t="shared" si="10"/>
        <v>49.910000000000004</v>
      </c>
      <c r="AO20" s="200"/>
      <c r="AP20" s="219"/>
      <c r="AQ20" s="186">
        <f t="shared" si="11"/>
        <v>0</v>
      </c>
    </row>
    <row r="21" spans="1:43">
      <c r="A21" s="183" t="s">
        <v>263</v>
      </c>
      <c r="B21" s="188">
        <f>2.82+1.45</f>
        <v>4.2699999999999996</v>
      </c>
      <c r="C21" s="189">
        <f t="shared" si="1"/>
        <v>1.9855499999999997</v>
      </c>
      <c r="D21" s="188">
        <v>11.28</v>
      </c>
      <c r="E21" s="189">
        <f t="shared" si="2"/>
        <v>11.28</v>
      </c>
      <c r="F21" s="188">
        <v>2.82</v>
      </c>
      <c r="G21" s="189">
        <f t="shared" si="3"/>
        <v>8.7419999999999991</v>
      </c>
      <c r="H21" s="201">
        <v>4</v>
      </c>
      <c r="I21" s="201">
        <f>(0.7*2.1*2)</f>
        <v>2.94</v>
      </c>
      <c r="J21" s="201">
        <f>(1.2*1.1)+(0.42*0.4*2)+(0.7*2.1*2)</f>
        <v>4.5960000000000001</v>
      </c>
      <c r="K21" s="214"/>
      <c r="L21" s="187"/>
      <c r="M21" s="189">
        <f t="shared" si="0"/>
        <v>0</v>
      </c>
      <c r="N21" s="187"/>
      <c r="O21" s="189">
        <f t="shared" si="4"/>
        <v>0</v>
      </c>
      <c r="P21" s="187"/>
      <c r="Q21" s="224">
        <f t="shared" si="5"/>
        <v>0</v>
      </c>
      <c r="R21" s="188"/>
      <c r="S21" s="224">
        <f t="shared" si="6"/>
        <v>0</v>
      </c>
      <c r="T21" s="188"/>
      <c r="U21" s="189">
        <f t="shared" si="13"/>
        <v>0</v>
      </c>
      <c r="V21" s="210">
        <v>0</v>
      </c>
      <c r="W21" s="219">
        <v>0</v>
      </c>
      <c r="X21" s="187"/>
      <c r="Y21" s="189">
        <f t="shared" si="7"/>
        <v>0</v>
      </c>
      <c r="Z21" s="219"/>
      <c r="AA21" s="187"/>
      <c r="AB21" s="189">
        <f t="shared" si="8"/>
        <v>0</v>
      </c>
      <c r="AC21" s="201">
        <v>1.1200000000000001</v>
      </c>
      <c r="AD21" s="201"/>
      <c r="AE21" s="201"/>
      <c r="AF21" s="219"/>
      <c r="AG21" s="188"/>
      <c r="AH21" s="188"/>
      <c r="AI21" s="218">
        <f t="shared" si="12"/>
        <v>0</v>
      </c>
      <c r="AJ21" s="188"/>
      <c r="AK21" s="189">
        <f t="shared" si="9"/>
        <v>0</v>
      </c>
      <c r="AL21" s="188"/>
      <c r="AM21" s="219">
        <v>13.64</v>
      </c>
      <c r="AN21" s="183">
        <f t="shared" si="10"/>
        <v>42.284000000000006</v>
      </c>
      <c r="AO21" s="200"/>
      <c r="AP21" s="219"/>
      <c r="AQ21" s="186">
        <f t="shared" si="11"/>
        <v>0</v>
      </c>
    </row>
    <row r="22" spans="1:43" ht="40.5" customHeight="1">
      <c r="A22" s="184" t="s">
        <v>337</v>
      </c>
      <c r="B22" s="188"/>
      <c r="C22" s="189">
        <f t="shared" si="1"/>
        <v>0</v>
      </c>
      <c r="D22" s="188"/>
      <c r="E22" s="189">
        <f t="shared" si="2"/>
        <v>0</v>
      </c>
      <c r="F22" s="188"/>
      <c r="G22" s="189">
        <f t="shared" si="3"/>
        <v>0</v>
      </c>
      <c r="H22" s="201"/>
      <c r="I22" s="201"/>
      <c r="J22" s="201"/>
      <c r="K22" s="214"/>
      <c r="L22" s="187">
        <v>13.25</v>
      </c>
      <c r="M22" s="189">
        <f t="shared" si="0"/>
        <v>2.6500000000000004</v>
      </c>
      <c r="N22" s="187">
        <v>13.25</v>
      </c>
      <c r="O22" s="189">
        <f t="shared" si="4"/>
        <v>1.5899999999999999</v>
      </c>
      <c r="P22" s="187">
        <v>13.25</v>
      </c>
      <c r="Q22" s="224">
        <f t="shared" si="5"/>
        <v>0.53000000000000014</v>
      </c>
      <c r="R22" s="188">
        <v>14</v>
      </c>
      <c r="S22" s="224">
        <f t="shared" si="6"/>
        <v>2.8000000000000003</v>
      </c>
      <c r="T22" s="188"/>
      <c r="U22" s="189">
        <f t="shared" si="13"/>
        <v>0</v>
      </c>
      <c r="V22" s="210">
        <v>1.2</v>
      </c>
      <c r="W22" s="219">
        <v>1.6</v>
      </c>
      <c r="X22" s="187">
        <v>13.25</v>
      </c>
      <c r="Y22" s="189">
        <f t="shared" si="7"/>
        <v>0.39749999999999996</v>
      </c>
      <c r="Z22" s="219"/>
      <c r="AA22" s="187">
        <v>11.25</v>
      </c>
      <c r="AB22" s="189">
        <f t="shared" si="8"/>
        <v>33.75</v>
      </c>
      <c r="AC22" s="201">
        <f>3.04*0.6</f>
        <v>1.8239999999999998</v>
      </c>
      <c r="AD22" s="201"/>
      <c r="AE22" s="201"/>
      <c r="AF22" s="219"/>
      <c r="AG22" s="188">
        <v>14</v>
      </c>
      <c r="AH22" s="188"/>
      <c r="AI22" s="218">
        <f t="shared" si="12"/>
        <v>0</v>
      </c>
      <c r="AJ22" s="188"/>
      <c r="AK22" s="189">
        <f t="shared" si="9"/>
        <v>0</v>
      </c>
      <c r="AL22" s="188">
        <v>14</v>
      </c>
      <c r="AM22" s="219"/>
      <c r="AN22" s="183">
        <f t="shared" si="10"/>
        <v>0</v>
      </c>
      <c r="AO22" s="200"/>
      <c r="AP22" s="219">
        <v>15</v>
      </c>
      <c r="AQ22" s="186">
        <v>45</v>
      </c>
    </row>
    <row r="23" spans="1:43" ht="25.5">
      <c r="A23" s="184" t="s">
        <v>338</v>
      </c>
      <c r="B23" s="188">
        <v>2.9</v>
      </c>
      <c r="C23" s="189">
        <f t="shared" si="1"/>
        <v>1.3485</v>
      </c>
      <c r="D23" s="188">
        <v>11.6</v>
      </c>
      <c r="E23" s="189">
        <f t="shared" si="2"/>
        <v>11.6</v>
      </c>
      <c r="F23" s="188"/>
      <c r="G23" s="189">
        <f t="shared" si="3"/>
        <v>0</v>
      </c>
      <c r="H23" s="201"/>
      <c r="I23" s="201">
        <f>(0.8*2.1*2)</f>
        <v>3.3600000000000003</v>
      </c>
      <c r="J23" s="201">
        <f>(1.2*1.1)+(0.8*2.1*2)</f>
        <v>4.6800000000000006</v>
      </c>
      <c r="K23" s="214"/>
      <c r="L23" s="187">
        <v>0</v>
      </c>
      <c r="M23" s="189">
        <f t="shared" si="0"/>
        <v>0</v>
      </c>
      <c r="N23" s="187">
        <v>0</v>
      </c>
      <c r="O23" s="189">
        <f t="shared" si="4"/>
        <v>0</v>
      </c>
      <c r="P23" s="187">
        <v>0</v>
      </c>
      <c r="Q23" s="224">
        <f t="shared" si="5"/>
        <v>0</v>
      </c>
      <c r="R23" s="188"/>
      <c r="S23" s="224">
        <f t="shared" si="6"/>
        <v>0</v>
      </c>
      <c r="T23" s="188"/>
      <c r="U23" s="189">
        <f t="shared" si="13"/>
        <v>0</v>
      </c>
      <c r="V23" s="210">
        <v>0</v>
      </c>
      <c r="W23" s="219">
        <v>0</v>
      </c>
      <c r="X23" s="187">
        <v>0</v>
      </c>
      <c r="Y23" s="189">
        <f t="shared" si="7"/>
        <v>0</v>
      </c>
      <c r="Z23" s="219"/>
      <c r="AA23" s="187">
        <v>0</v>
      </c>
      <c r="AB23" s="189">
        <f t="shared" si="8"/>
        <v>0</v>
      </c>
      <c r="AC23" s="201"/>
      <c r="AD23" s="201"/>
      <c r="AE23" s="201"/>
      <c r="AF23" s="219"/>
      <c r="AG23" s="188"/>
      <c r="AH23" s="188"/>
      <c r="AI23" s="218">
        <f t="shared" si="12"/>
        <v>0</v>
      </c>
      <c r="AJ23" s="188"/>
      <c r="AK23" s="189">
        <f t="shared" si="9"/>
        <v>0</v>
      </c>
      <c r="AL23" s="188"/>
      <c r="AM23" s="219">
        <v>13.8</v>
      </c>
      <c r="AN23" s="183">
        <f t="shared" si="10"/>
        <v>42.78</v>
      </c>
      <c r="AO23" s="200"/>
      <c r="AP23" s="219">
        <v>0</v>
      </c>
      <c r="AQ23" s="186">
        <f t="shared" si="11"/>
        <v>0</v>
      </c>
    </row>
    <row r="24" spans="1:43">
      <c r="A24" s="184" t="s">
        <v>339</v>
      </c>
      <c r="B24" s="188">
        <v>2.9</v>
      </c>
      <c r="C24" s="189">
        <f t="shared" si="1"/>
        <v>1.3485</v>
      </c>
      <c r="D24" s="188">
        <v>11.6</v>
      </c>
      <c r="E24" s="189">
        <f t="shared" si="2"/>
        <v>11.6</v>
      </c>
      <c r="F24" s="188"/>
      <c r="G24" s="189">
        <f t="shared" si="3"/>
        <v>0</v>
      </c>
      <c r="H24" s="201"/>
      <c r="I24" s="201">
        <f>(0.8*2.1)</f>
        <v>1.6800000000000002</v>
      </c>
      <c r="J24" s="201">
        <f>(1.2*1.1)+(1*1.1)+(0.8*2.1)</f>
        <v>4.0999999999999996</v>
      </c>
      <c r="K24" s="214"/>
      <c r="L24" s="187">
        <v>0</v>
      </c>
      <c r="M24" s="189">
        <f t="shared" si="0"/>
        <v>0</v>
      </c>
      <c r="N24" s="187">
        <v>0</v>
      </c>
      <c r="O24" s="189">
        <f t="shared" si="4"/>
        <v>0</v>
      </c>
      <c r="P24" s="187">
        <v>0</v>
      </c>
      <c r="Q24" s="224">
        <f t="shared" si="5"/>
        <v>0</v>
      </c>
      <c r="R24" s="188"/>
      <c r="S24" s="224">
        <f t="shared" si="6"/>
        <v>0</v>
      </c>
      <c r="T24" s="188"/>
      <c r="U24" s="189">
        <f t="shared" si="13"/>
        <v>0</v>
      </c>
      <c r="V24" s="210">
        <v>0</v>
      </c>
      <c r="W24" s="219">
        <v>0</v>
      </c>
      <c r="X24" s="187">
        <v>0</v>
      </c>
      <c r="Y24" s="189">
        <f t="shared" si="7"/>
        <v>0</v>
      </c>
      <c r="Z24" s="219"/>
      <c r="AA24" s="187">
        <v>0</v>
      </c>
      <c r="AB24" s="189">
        <f t="shared" si="8"/>
        <v>0</v>
      </c>
      <c r="AC24" s="201"/>
      <c r="AD24" s="201"/>
      <c r="AE24" s="201"/>
      <c r="AF24" s="219"/>
      <c r="AG24" s="188"/>
      <c r="AH24" s="188"/>
      <c r="AI24" s="218">
        <f t="shared" si="12"/>
        <v>0</v>
      </c>
      <c r="AJ24" s="188"/>
      <c r="AK24" s="189">
        <f t="shared" si="9"/>
        <v>0</v>
      </c>
      <c r="AL24" s="188"/>
      <c r="AM24" s="219">
        <v>13.8</v>
      </c>
      <c r="AN24" s="183">
        <f t="shared" si="10"/>
        <v>42.78</v>
      </c>
      <c r="AO24" s="200"/>
      <c r="AP24" s="219">
        <v>0</v>
      </c>
      <c r="AQ24" s="186">
        <f t="shared" si="11"/>
        <v>0</v>
      </c>
    </row>
    <row r="25" spans="1:43">
      <c r="A25" s="183" t="s">
        <v>248</v>
      </c>
      <c r="B25" s="188">
        <f>1.24</f>
        <v>1.24</v>
      </c>
      <c r="C25" s="189">
        <f t="shared" si="1"/>
        <v>0.5766</v>
      </c>
      <c r="D25" s="188"/>
      <c r="E25" s="189">
        <f t="shared" si="2"/>
        <v>0</v>
      </c>
      <c r="F25" s="188"/>
      <c r="G25" s="189">
        <f t="shared" si="3"/>
        <v>0</v>
      </c>
      <c r="H25" s="201"/>
      <c r="I25" s="201"/>
      <c r="J25" s="201">
        <f>(2*1.1)</f>
        <v>2.2000000000000002</v>
      </c>
      <c r="K25" s="214"/>
      <c r="L25" s="187">
        <v>0</v>
      </c>
      <c r="M25" s="189">
        <f t="shared" si="0"/>
        <v>0</v>
      </c>
      <c r="N25" s="187">
        <v>0</v>
      </c>
      <c r="O25" s="189">
        <f t="shared" si="4"/>
        <v>0</v>
      </c>
      <c r="P25" s="187">
        <v>0</v>
      </c>
      <c r="Q25" s="224">
        <f t="shared" si="5"/>
        <v>0</v>
      </c>
      <c r="R25" s="188">
        <v>0</v>
      </c>
      <c r="S25" s="224">
        <f t="shared" si="6"/>
        <v>0</v>
      </c>
      <c r="T25" s="188">
        <v>0</v>
      </c>
      <c r="U25" s="189">
        <f t="shared" si="13"/>
        <v>0</v>
      </c>
      <c r="V25" s="210">
        <v>0</v>
      </c>
      <c r="W25" s="219">
        <v>0</v>
      </c>
      <c r="X25" s="187">
        <v>0</v>
      </c>
      <c r="Y25" s="189">
        <f t="shared" si="7"/>
        <v>0</v>
      </c>
      <c r="Z25" s="219">
        <v>8.08</v>
      </c>
      <c r="AA25" s="187">
        <v>0</v>
      </c>
      <c r="AB25" s="189">
        <f t="shared" si="8"/>
        <v>0</v>
      </c>
      <c r="AC25" s="201">
        <v>0.68</v>
      </c>
      <c r="AD25" s="201"/>
      <c r="AE25" s="201"/>
      <c r="AF25" s="219"/>
      <c r="AG25" s="188">
        <v>0</v>
      </c>
      <c r="AH25" s="188"/>
      <c r="AI25" s="218">
        <f t="shared" si="12"/>
        <v>0</v>
      </c>
      <c r="AJ25" s="188"/>
      <c r="AK25" s="189">
        <f t="shared" si="9"/>
        <v>0</v>
      </c>
      <c r="AL25" s="188">
        <v>0</v>
      </c>
      <c r="AM25" s="219"/>
      <c r="AN25" s="183">
        <f t="shared" si="10"/>
        <v>0</v>
      </c>
      <c r="AO25" s="200"/>
      <c r="AP25" s="219"/>
      <c r="AQ25" s="186">
        <f t="shared" si="11"/>
        <v>0</v>
      </c>
    </row>
    <row r="26" spans="1:43">
      <c r="A26" s="184" t="s">
        <v>340</v>
      </c>
      <c r="B26" s="188"/>
      <c r="C26" s="189">
        <f t="shared" si="1"/>
        <v>0</v>
      </c>
      <c r="D26" s="188"/>
      <c r="E26" s="189">
        <f t="shared" si="2"/>
        <v>0</v>
      </c>
      <c r="F26" s="188"/>
      <c r="G26" s="189">
        <f t="shared" si="3"/>
        <v>0</v>
      </c>
      <c r="H26" s="201"/>
      <c r="I26" s="201"/>
      <c r="J26" s="201"/>
      <c r="K26" s="214"/>
      <c r="L26" s="187">
        <v>14.55</v>
      </c>
      <c r="M26" s="189">
        <f t="shared" si="0"/>
        <v>2.91</v>
      </c>
      <c r="N26" s="187">
        <v>14.55</v>
      </c>
      <c r="O26" s="189">
        <f t="shared" si="4"/>
        <v>1.746</v>
      </c>
      <c r="P26" s="187">
        <v>14.55</v>
      </c>
      <c r="Q26" s="224">
        <f t="shared" si="5"/>
        <v>0.58200000000000018</v>
      </c>
      <c r="R26" s="188">
        <v>18.649999999999999</v>
      </c>
      <c r="S26" s="224">
        <f t="shared" si="6"/>
        <v>3.73</v>
      </c>
      <c r="T26" s="188"/>
      <c r="U26" s="189">
        <f t="shared" si="13"/>
        <v>0</v>
      </c>
      <c r="V26" s="210">
        <v>1.2</v>
      </c>
      <c r="W26" s="219">
        <v>1.6</v>
      </c>
      <c r="X26" s="187">
        <v>14.55</v>
      </c>
      <c r="Y26" s="189">
        <f t="shared" si="7"/>
        <v>0.4365</v>
      </c>
      <c r="Z26" s="219"/>
      <c r="AA26" s="187">
        <v>12.55</v>
      </c>
      <c r="AB26" s="189">
        <f t="shared" si="8"/>
        <v>37.650000000000006</v>
      </c>
      <c r="AC26" s="201"/>
      <c r="AD26" s="201"/>
      <c r="AE26" s="201"/>
      <c r="AF26" s="219"/>
      <c r="AG26" s="188">
        <v>18.649999999999999</v>
      </c>
      <c r="AH26" s="188"/>
      <c r="AI26" s="218">
        <f t="shared" si="12"/>
        <v>0</v>
      </c>
      <c r="AJ26" s="188"/>
      <c r="AK26" s="189">
        <f t="shared" si="9"/>
        <v>0</v>
      </c>
      <c r="AL26" s="188">
        <v>18.649999999999999</v>
      </c>
      <c r="AM26" s="219"/>
      <c r="AN26" s="183">
        <f t="shared" si="10"/>
        <v>0</v>
      </c>
      <c r="AO26" s="200"/>
      <c r="AP26" s="219"/>
      <c r="AQ26" s="186">
        <f t="shared" si="11"/>
        <v>0</v>
      </c>
    </row>
    <row r="27" spans="1:43">
      <c r="A27" s="183" t="s">
        <v>333</v>
      </c>
      <c r="B27" s="188"/>
      <c r="C27" s="189">
        <f t="shared" si="1"/>
        <v>0</v>
      </c>
      <c r="D27" s="188"/>
      <c r="E27" s="189">
        <f t="shared" si="2"/>
        <v>0</v>
      </c>
      <c r="F27" s="188"/>
      <c r="G27" s="189">
        <f t="shared" si="3"/>
        <v>0</v>
      </c>
      <c r="H27" s="201"/>
      <c r="I27" s="201"/>
      <c r="J27" s="201"/>
      <c r="K27" s="214"/>
      <c r="L27" s="187">
        <v>9.25</v>
      </c>
      <c r="M27" s="189">
        <f t="shared" si="0"/>
        <v>1.85</v>
      </c>
      <c r="N27" s="187">
        <v>9.25</v>
      </c>
      <c r="O27" s="189">
        <f t="shared" si="4"/>
        <v>1.1099999999999999</v>
      </c>
      <c r="P27" s="187">
        <v>9.25</v>
      </c>
      <c r="Q27" s="224">
        <f t="shared" si="5"/>
        <v>0.37000000000000005</v>
      </c>
      <c r="R27" s="188">
        <v>6.22</v>
      </c>
      <c r="S27" s="224">
        <f t="shared" si="6"/>
        <v>1.244</v>
      </c>
      <c r="T27" s="188"/>
      <c r="U27" s="189">
        <f t="shared" si="13"/>
        <v>0</v>
      </c>
      <c r="V27" s="210">
        <v>1.1000000000000001</v>
      </c>
      <c r="W27" s="219">
        <v>0.9</v>
      </c>
      <c r="X27" s="187">
        <v>9.25</v>
      </c>
      <c r="Y27" s="189">
        <f t="shared" si="7"/>
        <v>0.27749999999999997</v>
      </c>
      <c r="Z27" s="219"/>
      <c r="AA27" s="187">
        <v>9.25</v>
      </c>
      <c r="AB27" s="189">
        <f t="shared" si="8"/>
        <v>27.75</v>
      </c>
      <c r="AC27" s="201"/>
      <c r="AD27" s="201"/>
      <c r="AE27" s="201"/>
      <c r="AF27" s="219"/>
      <c r="AG27" s="188">
        <v>6.22</v>
      </c>
      <c r="AH27" s="188">
        <v>11.3</v>
      </c>
      <c r="AI27" s="218">
        <f t="shared" si="12"/>
        <v>33.900000000000006</v>
      </c>
      <c r="AJ27" s="188"/>
      <c r="AK27" s="189">
        <f t="shared" si="9"/>
        <v>0</v>
      </c>
      <c r="AL27" s="188">
        <v>6.22</v>
      </c>
      <c r="AM27" s="219"/>
      <c r="AN27" s="183">
        <f t="shared" si="10"/>
        <v>0</v>
      </c>
      <c r="AO27" s="200"/>
      <c r="AP27" s="219">
        <v>7.4</v>
      </c>
      <c r="AQ27" s="186">
        <v>22.2</v>
      </c>
    </row>
    <row r="28" spans="1:43">
      <c r="A28" s="184" t="s">
        <v>334</v>
      </c>
      <c r="B28" s="188"/>
      <c r="C28" s="189">
        <f t="shared" si="1"/>
        <v>0</v>
      </c>
      <c r="D28" s="188"/>
      <c r="E28" s="189">
        <f t="shared" si="2"/>
        <v>0</v>
      </c>
      <c r="F28" s="188"/>
      <c r="G28" s="189">
        <f t="shared" si="3"/>
        <v>0</v>
      </c>
      <c r="H28" s="201"/>
      <c r="I28" s="201"/>
      <c r="J28" s="201"/>
      <c r="K28" s="214"/>
      <c r="L28" s="187">
        <v>7.81</v>
      </c>
      <c r="M28" s="189">
        <f t="shared" si="0"/>
        <v>1.5620000000000001</v>
      </c>
      <c r="N28" s="187">
        <v>7.81</v>
      </c>
      <c r="O28" s="189">
        <f t="shared" si="4"/>
        <v>0.93719999999999992</v>
      </c>
      <c r="P28" s="187">
        <v>7.81</v>
      </c>
      <c r="Q28" s="224">
        <f t="shared" si="5"/>
        <v>0.31240000000000007</v>
      </c>
      <c r="R28" s="188">
        <v>6.16</v>
      </c>
      <c r="S28" s="224">
        <f t="shared" si="6"/>
        <v>1.2320000000000002</v>
      </c>
      <c r="T28" s="188"/>
      <c r="U28" s="189">
        <f t="shared" si="13"/>
        <v>0</v>
      </c>
      <c r="V28" s="210">
        <v>1.1000000000000001</v>
      </c>
      <c r="W28" s="219">
        <v>0.9</v>
      </c>
      <c r="X28" s="187">
        <v>7.81</v>
      </c>
      <c r="Y28" s="189">
        <f t="shared" si="7"/>
        <v>0.23429999999999998</v>
      </c>
      <c r="Z28" s="219"/>
      <c r="AA28" s="187">
        <v>7.81</v>
      </c>
      <c r="AB28" s="189">
        <f t="shared" si="8"/>
        <v>23.43</v>
      </c>
      <c r="AC28" s="201"/>
      <c r="AD28" s="201"/>
      <c r="AE28" s="201"/>
      <c r="AF28" s="219"/>
      <c r="AG28" s="188">
        <v>6.16</v>
      </c>
      <c r="AH28" s="188">
        <v>10.01</v>
      </c>
      <c r="AI28" s="218">
        <f t="shared" si="12"/>
        <v>30.03</v>
      </c>
      <c r="AJ28" s="188"/>
      <c r="AK28" s="189">
        <f t="shared" si="9"/>
        <v>0</v>
      </c>
      <c r="AL28" s="188">
        <v>6.16</v>
      </c>
      <c r="AM28" s="219"/>
      <c r="AN28" s="183">
        <f t="shared" si="10"/>
        <v>0</v>
      </c>
      <c r="AO28" s="200"/>
      <c r="AP28" s="219">
        <v>7.4</v>
      </c>
      <c r="AQ28" s="186">
        <v>22.2</v>
      </c>
    </row>
    <row r="29" spans="1:43">
      <c r="A29" s="183" t="s">
        <v>341</v>
      </c>
      <c r="B29" s="188"/>
      <c r="C29" s="189">
        <f t="shared" si="1"/>
        <v>0</v>
      </c>
      <c r="D29" s="188"/>
      <c r="E29" s="189">
        <f t="shared" si="2"/>
        <v>0</v>
      </c>
      <c r="F29" s="188"/>
      <c r="G29" s="189">
        <f t="shared" si="3"/>
        <v>0</v>
      </c>
      <c r="H29" s="201"/>
      <c r="I29" s="201"/>
      <c r="J29" s="201"/>
      <c r="K29" s="214"/>
      <c r="L29" s="187">
        <v>4.37</v>
      </c>
      <c r="M29" s="189">
        <f t="shared" si="0"/>
        <v>0.87400000000000011</v>
      </c>
      <c r="N29" s="187">
        <v>4.37</v>
      </c>
      <c r="O29" s="189">
        <f t="shared" si="4"/>
        <v>0.52439999999999998</v>
      </c>
      <c r="P29" s="187">
        <v>4.37</v>
      </c>
      <c r="Q29" s="224">
        <f t="shared" si="5"/>
        <v>0.17480000000000004</v>
      </c>
      <c r="R29" s="188">
        <v>4.1900000000000004</v>
      </c>
      <c r="S29" s="224">
        <f t="shared" si="6"/>
        <v>0.83800000000000008</v>
      </c>
      <c r="T29" s="188"/>
      <c r="U29" s="189">
        <f t="shared" si="13"/>
        <v>0</v>
      </c>
      <c r="V29" s="210">
        <v>1.2</v>
      </c>
      <c r="W29" s="219"/>
      <c r="X29" s="187">
        <v>4.37</v>
      </c>
      <c r="Y29" s="189">
        <f t="shared" si="7"/>
        <v>0.13109999999999999</v>
      </c>
      <c r="Z29" s="219"/>
      <c r="AA29" s="187">
        <v>4.37</v>
      </c>
      <c r="AB29" s="189">
        <f t="shared" si="8"/>
        <v>13.11</v>
      </c>
      <c r="AC29" s="201"/>
      <c r="AD29" s="201"/>
      <c r="AE29" s="201"/>
      <c r="AF29" s="219"/>
      <c r="AG29" s="188">
        <v>4.1900000000000004</v>
      </c>
      <c r="AH29" s="188">
        <f>8.44-2.62</f>
        <v>5.8199999999999994</v>
      </c>
      <c r="AI29" s="218">
        <f t="shared" si="12"/>
        <v>17.459999999999997</v>
      </c>
      <c r="AJ29" s="188"/>
      <c r="AK29" s="189">
        <f t="shared" si="9"/>
        <v>0</v>
      </c>
      <c r="AL29" s="188">
        <v>4.1900000000000004</v>
      </c>
      <c r="AM29" s="219"/>
      <c r="AN29" s="183">
        <f t="shared" si="10"/>
        <v>0</v>
      </c>
      <c r="AO29" s="200"/>
      <c r="AP29" s="219"/>
      <c r="AQ29" s="186">
        <f t="shared" si="11"/>
        <v>0</v>
      </c>
    </row>
    <row r="30" spans="1:43">
      <c r="A30" s="184" t="s">
        <v>342</v>
      </c>
      <c r="B30" s="188"/>
      <c r="C30" s="189">
        <f t="shared" si="1"/>
        <v>0</v>
      </c>
      <c r="D30" s="188"/>
      <c r="E30" s="189">
        <f t="shared" si="2"/>
        <v>0</v>
      </c>
      <c r="F30" s="188"/>
      <c r="G30" s="189">
        <f t="shared" si="3"/>
        <v>0</v>
      </c>
      <c r="H30" s="201"/>
      <c r="I30" s="201"/>
      <c r="J30" s="201"/>
      <c r="K30" s="214"/>
      <c r="L30" s="187">
        <v>7.04</v>
      </c>
      <c r="M30" s="189">
        <f t="shared" si="0"/>
        <v>1.4080000000000001</v>
      </c>
      <c r="N30" s="187">
        <v>7.04</v>
      </c>
      <c r="O30" s="189">
        <f t="shared" si="4"/>
        <v>0.8448</v>
      </c>
      <c r="P30" s="187">
        <v>7.04</v>
      </c>
      <c r="Q30" s="224">
        <f t="shared" si="5"/>
        <v>0.28160000000000007</v>
      </c>
      <c r="R30" s="188">
        <v>3.15</v>
      </c>
      <c r="S30" s="224">
        <f t="shared" si="6"/>
        <v>0.63</v>
      </c>
      <c r="T30" s="188"/>
      <c r="U30" s="189">
        <f t="shared" si="13"/>
        <v>0</v>
      </c>
      <c r="V30" s="210">
        <v>1.1000000000000001</v>
      </c>
      <c r="W30" s="219">
        <v>0.9</v>
      </c>
      <c r="X30" s="187">
        <v>7.04</v>
      </c>
      <c r="Y30" s="189">
        <f t="shared" si="7"/>
        <v>0.2112</v>
      </c>
      <c r="Z30" s="219"/>
      <c r="AA30" s="187">
        <v>7.04</v>
      </c>
      <c r="AB30" s="189">
        <f t="shared" si="8"/>
        <v>21.12</v>
      </c>
      <c r="AC30" s="201">
        <v>1.19</v>
      </c>
      <c r="AD30" s="201"/>
      <c r="AE30" s="201"/>
      <c r="AF30" s="219"/>
      <c r="AG30" s="188">
        <v>3.15</v>
      </c>
      <c r="AH30" s="188"/>
      <c r="AI30" s="218">
        <f t="shared" si="12"/>
        <v>0</v>
      </c>
      <c r="AJ30" s="188"/>
      <c r="AK30" s="189">
        <f t="shared" si="9"/>
        <v>0</v>
      </c>
      <c r="AL30" s="188">
        <v>3.15</v>
      </c>
      <c r="AM30" s="219"/>
      <c r="AN30" s="183">
        <f t="shared" si="10"/>
        <v>0</v>
      </c>
      <c r="AO30" s="200"/>
      <c r="AP30" s="219"/>
      <c r="AQ30" s="186">
        <f t="shared" si="11"/>
        <v>0</v>
      </c>
    </row>
    <row r="31" spans="1:43">
      <c r="A31" s="183" t="s">
        <v>343</v>
      </c>
      <c r="B31" s="188"/>
      <c r="C31" s="189">
        <f t="shared" si="1"/>
        <v>0</v>
      </c>
      <c r="D31" s="188"/>
      <c r="E31" s="189">
        <f t="shared" si="2"/>
        <v>0</v>
      </c>
      <c r="F31" s="188"/>
      <c r="G31" s="189">
        <f t="shared" si="3"/>
        <v>0</v>
      </c>
      <c r="H31" s="201"/>
      <c r="I31" s="201"/>
      <c r="J31" s="201"/>
      <c r="K31" s="214"/>
      <c r="L31" s="187">
        <v>9.4</v>
      </c>
      <c r="M31" s="189">
        <f t="shared" si="0"/>
        <v>1.8800000000000001</v>
      </c>
      <c r="N31" s="187">
        <v>9.4</v>
      </c>
      <c r="O31" s="189">
        <f t="shared" si="4"/>
        <v>1.1279999999999999</v>
      </c>
      <c r="P31" s="187">
        <v>9.4</v>
      </c>
      <c r="Q31" s="224">
        <f t="shared" si="5"/>
        <v>0.37600000000000011</v>
      </c>
      <c r="R31" s="188">
        <v>8.4</v>
      </c>
      <c r="S31" s="224">
        <f t="shared" si="6"/>
        <v>1.6800000000000002</v>
      </c>
      <c r="T31" s="188"/>
      <c r="U31" s="189">
        <f t="shared" si="13"/>
        <v>0</v>
      </c>
      <c r="V31" s="210">
        <v>1.2</v>
      </c>
      <c r="W31" s="219">
        <v>1.6</v>
      </c>
      <c r="X31" s="187">
        <v>9.4</v>
      </c>
      <c r="Y31" s="189">
        <f t="shared" si="7"/>
        <v>0.28199999999999997</v>
      </c>
      <c r="Z31" s="219"/>
      <c r="AA31" s="187">
        <v>9.4</v>
      </c>
      <c r="AB31" s="189">
        <f t="shared" si="8"/>
        <v>28.200000000000003</v>
      </c>
      <c r="AC31" s="201">
        <f>1.76*0.6</f>
        <v>1.056</v>
      </c>
      <c r="AD31" s="201"/>
      <c r="AE31" s="201"/>
      <c r="AF31" s="219"/>
      <c r="AG31" s="188">
        <v>8.4</v>
      </c>
      <c r="AH31" s="188">
        <v>11.6</v>
      </c>
      <c r="AI31" s="218">
        <f t="shared" si="12"/>
        <v>34.799999999999997</v>
      </c>
      <c r="AJ31" s="188"/>
      <c r="AK31" s="189">
        <f t="shared" si="9"/>
        <v>0</v>
      </c>
      <c r="AL31" s="188">
        <v>8.4</v>
      </c>
      <c r="AM31" s="219"/>
      <c r="AN31" s="183">
        <f t="shared" si="10"/>
        <v>0</v>
      </c>
      <c r="AO31" s="200"/>
      <c r="AP31" s="219"/>
      <c r="AQ31" s="186">
        <f t="shared" si="11"/>
        <v>0</v>
      </c>
    </row>
    <row r="32" spans="1:43" ht="25.5">
      <c r="A32" s="184" t="s">
        <v>344</v>
      </c>
      <c r="B32" s="188"/>
      <c r="C32" s="189">
        <f t="shared" si="1"/>
        <v>0</v>
      </c>
      <c r="D32" s="188"/>
      <c r="E32" s="189">
        <f t="shared" si="2"/>
        <v>0</v>
      </c>
      <c r="F32" s="188"/>
      <c r="G32" s="189">
        <f t="shared" si="3"/>
        <v>0</v>
      </c>
      <c r="H32" s="201"/>
      <c r="I32" s="201"/>
      <c r="J32" s="201"/>
      <c r="K32" s="214"/>
      <c r="L32" s="187">
        <v>9.4</v>
      </c>
      <c r="M32" s="189">
        <f t="shared" si="0"/>
        <v>1.8800000000000001</v>
      </c>
      <c r="N32" s="187">
        <v>9.4</v>
      </c>
      <c r="O32" s="189">
        <f t="shared" si="4"/>
        <v>1.1279999999999999</v>
      </c>
      <c r="P32" s="187">
        <v>9.4</v>
      </c>
      <c r="Q32" s="224">
        <f t="shared" si="5"/>
        <v>0.37600000000000011</v>
      </c>
      <c r="R32" s="188">
        <v>8.4</v>
      </c>
      <c r="S32" s="224">
        <f t="shared" si="6"/>
        <v>1.6800000000000002</v>
      </c>
      <c r="T32" s="188"/>
      <c r="U32" s="189">
        <f t="shared" si="13"/>
        <v>0</v>
      </c>
      <c r="V32" s="210">
        <v>1.2</v>
      </c>
      <c r="W32" s="219">
        <v>1.4</v>
      </c>
      <c r="X32" s="187">
        <v>9.4</v>
      </c>
      <c r="Y32" s="189">
        <f t="shared" si="7"/>
        <v>0.28199999999999997</v>
      </c>
      <c r="Z32" s="219"/>
      <c r="AA32" s="187">
        <v>9.4</v>
      </c>
      <c r="AB32" s="189">
        <f t="shared" si="8"/>
        <v>28.200000000000003</v>
      </c>
      <c r="AC32" s="201">
        <f>3*0.6</f>
        <v>1.7999999999999998</v>
      </c>
      <c r="AD32" s="201"/>
      <c r="AE32" s="201"/>
      <c r="AF32" s="219"/>
      <c r="AG32" s="188">
        <v>8.4</v>
      </c>
      <c r="AH32" s="188"/>
      <c r="AI32" s="218">
        <f t="shared" si="12"/>
        <v>0</v>
      </c>
      <c r="AJ32" s="188"/>
      <c r="AK32" s="189">
        <f t="shared" si="9"/>
        <v>0</v>
      </c>
      <c r="AL32" s="188">
        <v>8.4</v>
      </c>
      <c r="AM32" s="219"/>
      <c r="AN32" s="183">
        <f t="shared" si="10"/>
        <v>0</v>
      </c>
      <c r="AO32" s="200"/>
      <c r="AP32" s="219"/>
      <c r="AQ32" s="186">
        <f t="shared" si="11"/>
        <v>0</v>
      </c>
    </row>
    <row r="33" spans="1:43" ht="25.5">
      <c r="A33" s="184" t="s">
        <v>345</v>
      </c>
      <c r="B33" s="204"/>
      <c r="C33" s="205">
        <f t="shared" si="1"/>
        <v>0</v>
      </c>
      <c r="D33" s="204"/>
      <c r="E33" s="205">
        <f t="shared" si="2"/>
        <v>0</v>
      </c>
      <c r="F33" s="204"/>
      <c r="G33" s="205">
        <f t="shared" si="3"/>
        <v>0</v>
      </c>
      <c r="H33" s="206"/>
      <c r="I33" s="206"/>
      <c r="J33" s="206"/>
      <c r="K33" s="215"/>
      <c r="L33" s="187">
        <v>10.23</v>
      </c>
      <c r="M33" s="189">
        <f t="shared" si="0"/>
        <v>2.0460000000000003</v>
      </c>
      <c r="N33" s="187">
        <v>10.23</v>
      </c>
      <c r="O33" s="189">
        <f t="shared" si="4"/>
        <v>1.2276</v>
      </c>
      <c r="P33" s="187">
        <v>10.23</v>
      </c>
      <c r="Q33" s="224">
        <f t="shared" si="5"/>
        <v>0.40920000000000012</v>
      </c>
      <c r="R33" s="188">
        <v>9.8000000000000007</v>
      </c>
      <c r="S33" s="224">
        <f t="shared" si="6"/>
        <v>1.9600000000000002</v>
      </c>
      <c r="T33" s="188"/>
      <c r="U33" s="189">
        <f t="shared" si="13"/>
        <v>0</v>
      </c>
      <c r="V33" s="211">
        <v>1.2</v>
      </c>
      <c r="W33" s="220">
        <v>1.4</v>
      </c>
      <c r="X33" s="187">
        <v>10.23</v>
      </c>
      <c r="Y33" s="189">
        <f t="shared" si="7"/>
        <v>0.30690000000000001</v>
      </c>
      <c r="Z33" s="220"/>
      <c r="AA33" s="187">
        <v>9.23</v>
      </c>
      <c r="AB33" s="189">
        <f t="shared" si="8"/>
        <v>27.69</v>
      </c>
      <c r="AC33" s="206">
        <v>2.1</v>
      </c>
      <c r="AD33" s="206"/>
      <c r="AE33" s="206"/>
      <c r="AF33" s="220"/>
      <c r="AG33" s="188">
        <v>9.8000000000000007</v>
      </c>
      <c r="AH33" s="188"/>
      <c r="AI33" s="218">
        <f t="shared" si="12"/>
        <v>0</v>
      </c>
      <c r="AJ33" s="188"/>
      <c r="AK33" s="189">
        <f t="shared" si="9"/>
        <v>0</v>
      </c>
      <c r="AL33" s="188">
        <v>9.8000000000000007</v>
      </c>
      <c r="AM33" s="220"/>
      <c r="AN33" s="183">
        <f t="shared" si="10"/>
        <v>0</v>
      </c>
      <c r="AO33" s="200"/>
      <c r="AP33" s="220">
        <v>12.6</v>
      </c>
      <c r="AQ33" s="186">
        <v>37.799999999999997</v>
      </c>
    </row>
    <row r="34" spans="1:43">
      <c r="A34" s="203" t="s">
        <v>559</v>
      </c>
      <c r="B34" s="204"/>
      <c r="C34" s="205"/>
      <c r="D34" s="204"/>
      <c r="E34" s="205"/>
      <c r="F34" s="204"/>
      <c r="G34" s="205"/>
      <c r="H34" s="206"/>
      <c r="I34" s="206"/>
      <c r="J34" s="206"/>
      <c r="K34" s="215"/>
      <c r="L34" s="238">
        <v>5.6</v>
      </c>
      <c r="M34" s="189">
        <f t="shared" si="0"/>
        <v>1.1199999999999999</v>
      </c>
      <c r="N34" s="238">
        <v>5.6</v>
      </c>
      <c r="O34" s="189"/>
      <c r="P34" s="238">
        <v>5.6</v>
      </c>
      <c r="Q34" s="224"/>
      <c r="R34" s="204"/>
      <c r="S34" s="239"/>
      <c r="T34" s="204"/>
      <c r="U34" s="205"/>
      <c r="V34" s="211"/>
      <c r="W34" s="220"/>
      <c r="X34" s="238">
        <v>5.6</v>
      </c>
      <c r="Y34" s="205"/>
      <c r="Z34" s="220"/>
      <c r="AA34" s="238">
        <v>5.6</v>
      </c>
      <c r="AB34" s="205"/>
      <c r="AC34" s="206"/>
      <c r="AD34" s="206"/>
      <c r="AE34" s="206"/>
      <c r="AF34" s="220"/>
      <c r="AG34" s="220"/>
      <c r="AH34" s="204"/>
      <c r="AI34" s="218"/>
      <c r="AJ34" s="188"/>
      <c r="AK34" s="189">
        <f t="shared" si="9"/>
        <v>0</v>
      </c>
      <c r="AL34" s="204"/>
      <c r="AM34" s="220"/>
      <c r="AN34" s="183">
        <f t="shared" si="10"/>
        <v>0</v>
      </c>
      <c r="AO34" s="200"/>
      <c r="AP34" s="220"/>
      <c r="AQ34" s="186">
        <f t="shared" si="11"/>
        <v>0</v>
      </c>
    </row>
    <row r="35" spans="1:43" ht="13.5" thickBot="1">
      <c r="A35" s="203" t="s">
        <v>558</v>
      </c>
      <c r="B35" s="190"/>
      <c r="C35" s="192"/>
      <c r="D35" s="190"/>
      <c r="E35" s="192"/>
      <c r="F35" s="190"/>
      <c r="G35" s="192"/>
      <c r="H35" s="202"/>
      <c r="I35" s="202"/>
      <c r="J35" s="202"/>
      <c r="K35" s="216">
        <v>85.1</v>
      </c>
      <c r="L35" s="217">
        <v>9.08</v>
      </c>
      <c r="M35" s="189">
        <f>L35*$B$4</f>
        <v>1.8160000000000001</v>
      </c>
      <c r="N35" s="217">
        <v>9.08</v>
      </c>
      <c r="O35" s="189">
        <f>N35*$B$5</f>
        <v>1.0895999999999999</v>
      </c>
      <c r="P35" s="217">
        <v>9.08</v>
      </c>
      <c r="Q35" s="224">
        <f>P35*$F$1</f>
        <v>0.36320000000000008</v>
      </c>
      <c r="R35" s="190"/>
      <c r="S35" s="225">
        <f>R35*$F$4</f>
        <v>0</v>
      </c>
      <c r="T35" s="190">
        <v>244.35</v>
      </c>
      <c r="U35" s="192">
        <f>T35*$J$1</f>
        <v>24.435000000000002</v>
      </c>
      <c r="V35" s="222"/>
      <c r="W35" s="221"/>
      <c r="X35" s="217">
        <v>9.08</v>
      </c>
      <c r="Y35" s="192">
        <f>X35*$F$2</f>
        <v>0.27239999999999998</v>
      </c>
      <c r="Z35" s="221">
        <f>8.86+12.31</f>
        <v>21.17</v>
      </c>
      <c r="AA35" s="217">
        <v>9.08</v>
      </c>
      <c r="AB35" s="192">
        <f>AA35*$F$3</f>
        <v>27.240000000000002</v>
      </c>
      <c r="AC35" s="202"/>
      <c r="AD35" s="202">
        <f>40.68+87.46+65.52</f>
        <v>193.65999999999997</v>
      </c>
      <c r="AE35" s="202">
        <f>5.6+19.04+28+24.63</f>
        <v>77.27</v>
      </c>
      <c r="AF35" s="221">
        <f>16.58+17.95+9.54+16.2</f>
        <v>60.269999999999996</v>
      </c>
      <c r="AG35" s="221"/>
      <c r="AH35" s="190"/>
      <c r="AI35" s="218">
        <f>AH35*$J$2</f>
        <v>0</v>
      </c>
      <c r="AJ35" s="190"/>
      <c r="AK35" s="192">
        <f>(28.12*5.35)+(67.27*3.95)</f>
        <v>416.1585</v>
      </c>
      <c r="AL35" s="190"/>
      <c r="AM35" s="221">
        <v>10.47</v>
      </c>
      <c r="AN35" s="257">
        <f t="shared" si="10"/>
        <v>32.457000000000001</v>
      </c>
      <c r="AO35" s="260">
        <f>11.02+8.75+0.9+1.6</f>
        <v>22.27</v>
      </c>
      <c r="AP35" s="221"/>
      <c r="AQ35" s="252">
        <f t="shared" si="11"/>
        <v>0</v>
      </c>
    </row>
    <row r="37" spans="1:43">
      <c r="C37" s="182">
        <f>SUM(C10:C33)</f>
        <v>8.2723499999999994</v>
      </c>
      <c r="D37" s="182"/>
      <c r="E37" s="182">
        <f>SUM(E10:E33)</f>
        <v>50.940000000000005</v>
      </c>
      <c r="F37" s="182"/>
      <c r="G37" s="182">
        <f>SUM(G10:G33)</f>
        <v>8.7419999999999991</v>
      </c>
      <c r="H37" s="182">
        <f>SUM(H10:H33)</f>
        <v>4</v>
      </c>
      <c r="I37" s="182">
        <f>SUM(I10:I33)</f>
        <v>9.66</v>
      </c>
      <c r="J37" s="182">
        <f>SUM(J10:J35)</f>
        <v>17.996000000000002</v>
      </c>
      <c r="K37">
        <f>SUM(K10:K35)</f>
        <v>85.1</v>
      </c>
      <c r="M37">
        <f>SUM(M10:M35)</f>
        <v>41.25</v>
      </c>
      <c r="O37">
        <f>SUM(O10:O35)</f>
        <v>24.077999999999996</v>
      </c>
      <c r="Q37">
        <f>SUM(Q10:Q35)</f>
        <v>8.0260000000000034</v>
      </c>
      <c r="S37">
        <f>SUM(S10:S35)</f>
        <v>45.305999999999997</v>
      </c>
      <c r="U37">
        <f>SUM(U10:U35)</f>
        <v>24.435000000000002</v>
      </c>
      <c r="V37">
        <f>SUM(V10:V35)</f>
        <v>16.699999999999996</v>
      </c>
      <c r="W37">
        <f>SUM(W10:W35)</f>
        <v>21.2</v>
      </c>
      <c r="Y37">
        <f>SUM(Y10:Y35)</f>
        <v>6.019499999999999</v>
      </c>
      <c r="Z37">
        <f>SUM(Z10:Z35)</f>
        <v>29.25</v>
      </c>
      <c r="AB37">
        <f t="shared" ref="AB37:AG37" si="14">SUM(AB10:AB35)</f>
        <v>520.68000000000006</v>
      </c>
      <c r="AC37">
        <f t="shared" si="14"/>
        <v>13.554</v>
      </c>
      <c r="AD37">
        <f t="shared" si="14"/>
        <v>193.65999999999997</v>
      </c>
      <c r="AE37">
        <f t="shared" si="14"/>
        <v>77.27</v>
      </c>
      <c r="AF37">
        <f t="shared" si="14"/>
        <v>60.269999999999996</v>
      </c>
      <c r="AG37">
        <f t="shared" si="14"/>
        <v>226.53000000000003</v>
      </c>
      <c r="AI37">
        <f>SUM(AI10:AI35)</f>
        <v>140.79</v>
      </c>
      <c r="AK37">
        <f>SUM(AK10:AK35)</f>
        <v>416.1585</v>
      </c>
      <c r="AL37">
        <f>SUM(AL10:AL35)</f>
        <v>226.53000000000003</v>
      </c>
      <c r="AN37">
        <f>SUM(AN10:AN35)</f>
        <v>243.81500000000003</v>
      </c>
      <c r="AO37">
        <f>SUM(AO10:AO35)</f>
        <v>22.27</v>
      </c>
      <c r="AQ37">
        <f>SUM(AQ10:AQ35)</f>
        <v>266.52</v>
      </c>
    </row>
    <row r="39" spans="1:43" ht="13.5" thickBot="1"/>
    <row r="40" spans="1:43">
      <c r="B40" s="525" t="s">
        <v>408</v>
      </c>
      <c r="C40" s="526"/>
      <c r="D40" s="245" t="s">
        <v>191</v>
      </c>
      <c r="E40" s="245" t="s">
        <v>422</v>
      </c>
      <c r="F40" s="245" t="s">
        <v>423</v>
      </c>
      <c r="G40" s="245"/>
      <c r="H40" s="231" t="s">
        <v>146</v>
      </c>
    </row>
    <row r="41" spans="1:43" ht="4.5" customHeight="1" thickBot="1">
      <c r="B41" s="531"/>
      <c r="C41" s="532"/>
      <c r="D41" s="232"/>
      <c r="E41" s="232"/>
      <c r="F41" s="232"/>
      <c r="G41" s="233"/>
      <c r="H41" s="233"/>
    </row>
    <row r="42" spans="1:43" ht="13.5" thickBot="1">
      <c r="B42" s="527" t="s">
        <v>409</v>
      </c>
      <c r="C42" s="528"/>
      <c r="D42" s="227">
        <v>1</v>
      </c>
      <c r="E42" s="227">
        <v>1</v>
      </c>
      <c r="F42" s="227">
        <v>9</v>
      </c>
      <c r="G42" s="227"/>
      <c r="H42" s="234">
        <f t="shared" ref="H42:H47" si="15">D42*E42*F42</f>
        <v>9</v>
      </c>
    </row>
    <row r="43" spans="1:43">
      <c r="B43" s="529" t="s">
        <v>410</v>
      </c>
      <c r="C43" s="530"/>
      <c r="D43" s="227">
        <v>1</v>
      </c>
      <c r="E43" s="227">
        <v>1</v>
      </c>
      <c r="F43" s="227">
        <v>4</v>
      </c>
      <c r="G43" s="181"/>
      <c r="H43" s="235">
        <f t="shared" si="15"/>
        <v>4</v>
      </c>
    </row>
    <row r="44" spans="1:43">
      <c r="B44" s="529" t="s">
        <v>411</v>
      </c>
      <c r="C44" s="530"/>
      <c r="D44" s="181"/>
      <c r="E44" s="181"/>
      <c r="F44" s="181"/>
      <c r="G44" s="181"/>
      <c r="H44" s="235">
        <f t="shared" si="15"/>
        <v>0</v>
      </c>
    </row>
    <row r="45" spans="1:43">
      <c r="B45" s="529" t="s">
        <v>412</v>
      </c>
      <c r="C45" s="530"/>
      <c r="D45" s="181"/>
      <c r="E45" s="181"/>
      <c r="F45" s="181"/>
      <c r="G45" s="181"/>
      <c r="H45" s="235">
        <f t="shared" si="15"/>
        <v>0</v>
      </c>
    </row>
    <row r="46" spans="1:43">
      <c r="B46" s="529" t="s">
        <v>413</v>
      </c>
      <c r="C46" s="530"/>
      <c r="D46" s="181">
        <v>1</v>
      </c>
      <c r="E46" s="181">
        <v>1</v>
      </c>
      <c r="F46" s="181">
        <v>2</v>
      </c>
      <c r="G46" s="181"/>
      <c r="H46" s="235">
        <f t="shared" si="15"/>
        <v>2</v>
      </c>
    </row>
    <row r="47" spans="1:43" ht="13.5" thickBot="1">
      <c r="B47" s="533" t="s">
        <v>414</v>
      </c>
      <c r="C47" s="534"/>
      <c r="D47" s="228"/>
      <c r="E47" s="228"/>
      <c r="F47" s="228"/>
      <c r="G47" s="228"/>
      <c r="H47" s="236">
        <f t="shared" si="15"/>
        <v>0</v>
      </c>
    </row>
    <row r="48" spans="1:43" ht="2.25" customHeight="1" thickBot="1">
      <c r="B48" s="535"/>
      <c r="C48" s="535"/>
      <c r="D48" s="229"/>
      <c r="E48" s="229"/>
      <c r="F48" s="229"/>
      <c r="G48" s="229"/>
      <c r="H48" s="229"/>
    </row>
    <row r="49" spans="2:8">
      <c r="B49" s="527" t="s">
        <v>415</v>
      </c>
      <c r="C49" s="528"/>
      <c r="D49" s="227">
        <v>0.5</v>
      </c>
      <c r="E49" s="227">
        <v>0.3</v>
      </c>
      <c r="F49" s="227">
        <v>5</v>
      </c>
      <c r="G49" s="227"/>
      <c r="H49" s="234">
        <f t="shared" ref="H49:H55" si="16">D49*E49*F49</f>
        <v>0.75</v>
      </c>
    </row>
    <row r="50" spans="2:8">
      <c r="B50" s="529" t="s">
        <v>416</v>
      </c>
      <c r="C50" s="530"/>
      <c r="D50" s="181">
        <v>1.2</v>
      </c>
      <c r="E50" s="181">
        <v>1.1000000000000001</v>
      </c>
      <c r="F50" s="181">
        <v>5</v>
      </c>
      <c r="G50" s="181"/>
      <c r="H50" s="235">
        <f t="shared" si="16"/>
        <v>6.6000000000000005</v>
      </c>
    </row>
    <row r="51" spans="2:8">
      <c r="B51" s="529" t="s">
        <v>417</v>
      </c>
      <c r="C51" s="530"/>
      <c r="D51" s="181">
        <v>0.98</v>
      </c>
      <c r="E51" s="181">
        <v>0.3</v>
      </c>
      <c r="F51" s="181">
        <v>2</v>
      </c>
      <c r="G51" s="181"/>
      <c r="H51" s="235">
        <f t="shared" si="16"/>
        <v>0.58799999999999997</v>
      </c>
    </row>
    <row r="52" spans="2:8">
      <c r="B52" s="529" t="s">
        <v>418</v>
      </c>
      <c r="C52" s="530"/>
      <c r="D52" s="181">
        <v>0.7</v>
      </c>
      <c r="E52" s="181">
        <v>1.1299999999999999</v>
      </c>
      <c r="F52" s="181">
        <v>1</v>
      </c>
      <c r="G52" s="181"/>
      <c r="H52" s="235">
        <f t="shared" si="16"/>
        <v>0.79099999999999993</v>
      </c>
    </row>
    <row r="53" spans="2:8">
      <c r="B53" s="529" t="s">
        <v>419</v>
      </c>
      <c r="C53" s="530"/>
      <c r="D53" s="181">
        <v>0.8</v>
      </c>
      <c r="E53" s="181">
        <v>1.1299999999999999</v>
      </c>
      <c r="F53" s="181">
        <v>1</v>
      </c>
      <c r="G53" s="181"/>
      <c r="H53" s="235">
        <f t="shared" si="16"/>
        <v>0.90399999999999991</v>
      </c>
    </row>
    <row r="54" spans="2:8">
      <c r="B54" s="529" t="s">
        <v>420</v>
      </c>
      <c r="C54" s="530"/>
      <c r="D54" s="181">
        <v>1.2</v>
      </c>
      <c r="E54" s="181">
        <v>1.4</v>
      </c>
      <c r="F54" s="181">
        <v>1</v>
      </c>
      <c r="G54" s="181"/>
      <c r="H54" s="235">
        <f t="shared" si="16"/>
        <v>1.68</v>
      </c>
    </row>
    <row r="55" spans="2:8" ht="13.5" thickBot="1">
      <c r="B55" s="533" t="s">
        <v>421</v>
      </c>
      <c r="C55" s="534"/>
      <c r="D55" s="228">
        <v>3</v>
      </c>
      <c r="E55" s="228">
        <v>1.4</v>
      </c>
      <c r="F55" s="228">
        <v>1</v>
      </c>
      <c r="G55" s="228"/>
      <c r="H55" s="236">
        <f t="shared" si="16"/>
        <v>4.1999999999999993</v>
      </c>
    </row>
  </sheetData>
  <mergeCells count="40">
    <mergeCell ref="D1:E1"/>
    <mergeCell ref="H1:I1"/>
    <mergeCell ref="D2:E2"/>
    <mergeCell ref="H2:I2"/>
    <mergeCell ref="D3:E3"/>
    <mergeCell ref="H3:I3"/>
    <mergeCell ref="D4:E4"/>
    <mergeCell ref="H4:I4"/>
    <mergeCell ref="D5:E5"/>
    <mergeCell ref="B6:AN6"/>
    <mergeCell ref="B7:C7"/>
    <mergeCell ref="D7:E7"/>
    <mergeCell ref="F7:G7"/>
    <mergeCell ref="L7:M7"/>
    <mergeCell ref="N7:O7"/>
    <mergeCell ref="P7:Q7"/>
    <mergeCell ref="B49:C49"/>
    <mergeCell ref="B50:C50"/>
    <mergeCell ref="AM7:AN7"/>
    <mergeCell ref="B40:C40"/>
    <mergeCell ref="B41:C41"/>
    <mergeCell ref="B42:C42"/>
    <mergeCell ref="B43:C43"/>
    <mergeCell ref="B44:C44"/>
    <mergeCell ref="R7:S7"/>
    <mergeCell ref="T7:U7"/>
    <mergeCell ref="X7:Y7"/>
    <mergeCell ref="AA7:AB7"/>
    <mergeCell ref="AH7:AI7"/>
    <mergeCell ref="AJ7:AK7"/>
    <mergeCell ref="AP7:AQ7"/>
    <mergeCell ref="B45:C45"/>
    <mergeCell ref="B46:C46"/>
    <mergeCell ref="B47:C47"/>
    <mergeCell ref="B48:C48"/>
    <mergeCell ref="B51:C51"/>
    <mergeCell ref="B52:C52"/>
    <mergeCell ref="B53:C53"/>
    <mergeCell ref="B54:C54"/>
    <mergeCell ref="B55:C5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7</vt:i4>
      </vt:variant>
    </vt:vector>
  </HeadingPairs>
  <TitlesOfParts>
    <vt:vector size="14" baseType="lpstr">
      <vt:lpstr>ORÇ. REFORMA</vt:lpstr>
      <vt:lpstr>ORÇAMENTO</vt:lpstr>
      <vt:lpstr>COMPOSIÇÕES - REFORMAS</vt:lpstr>
      <vt:lpstr>CRON.REFORMA </vt:lpstr>
      <vt:lpstr>BDI</vt:lpstr>
      <vt:lpstr>Calc Quant reforma</vt:lpstr>
      <vt:lpstr>Calc Quant AMPLIAÇÃO</vt:lpstr>
      <vt:lpstr>BDI!Area_de_impressao</vt:lpstr>
      <vt:lpstr>'COMPOSIÇÕES - REFORMAS'!Area_de_impressao</vt:lpstr>
      <vt:lpstr>'CRON.REFORMA '!Area_de_impressao</vt:lpstr>
      <vt:lpstr>'ORÇ. REFORMA'!Area_de_impressao</vt:lpstr>
      <vt:lpstr>ORÇAMENTO!Area_de_impressao</vt:lpstr>
      <vt:lpstr>'ORÇ. REFORMA'!Titulos_de_impressao</vt:lpstr>
      <vt:lpstr>ORÇAMENTO!Titulos_de_impressao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PedroNordt</dc:creator>
  <cp:lastModifiedBy>USER</cp:lastModifiedBy>
  <cp:lastPrinted>2015-07-06T12:09:05Z</cp:lastPrinted>
  <dcterms:created xsi:type="dcterms:W3CDTF">2002-04-24T18:08:19Z</dcterms:created>
  <dcterms:modified xsi:type="dcterms:W3CDTF">2019-05-02T01:09:54Z</dcterms:modified>
</cp:coreProperties>
</file>